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ño 2023\2. Subdirección Control de Gestión\1. Análisis AGT\Recaudación\Abril 2023\"/>
    </mc:Choice>
  </mc:AlternateContent>
  <xr:revisionPtr revIDLastSave="0" documentId="8_{CFF3D992-FD15-4FE2-BF88-6BBBC6B04D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9" l="1"/>
  <c r="E12" i="9"/>
  <c r="F11" i="8" l="1"/>
  <c r="E11" i="8"/>
  <c r="F11" i="5"/>
  <c r="E11" i="5"/>
  <c r="S11" i="4"/>
  <c r="R11" i="4"/>
  <c r="P11" i="4"/>
  <c r="O11" i="4"/>
  <c r="M11" i="4"/>
  <c r="L11" i="4" s="1"/>
  <c r="J11" i="4"/>
  <c r="G11" i="4"/>
  <c r="F11" i="4" s="1"/>
  <c r="D12" i="6"/>
  <c r="J11" i="1"/>
  <c r="H11" i="1"/>
  <c r="F11" i="9"/>
  <c r="E11" i="9"/>
  <c r="F10" i="8"/>
  <c r="E10" i="8"/>
  <c r="F10" i="5"/>
  <c r="E10" i="5"/>
  <c r="S10" i="4"/>
  <c r="R10" i="4"/>
  <c r="P10" i="4"/>
  <c r="O10" i="4"/>
  <c r="M10" i="4"/>
  <c r="L10" i="4" s="1"/>
  <c r="G10" i="4"/>
  <c r="F10" i="4" s="1"/>
  <c r="D11" i="4" l="1"/>
  <c r="J10" i="4"/>
  <c r="D10" i="4"/>
  <c r="D11" i="6" l="1"/>
  <c r="J10" i="1"/>
  <c r="H10" i="1"/>
  <c r="E10" i="9"/>
  <c r="F10" i="9"/>
  <c r="E9" i="8"/>
  <c r="F9" i="8"/>
  <c r="F9" i="5"/>
  <c r="S9" i="4"/>
  <c r="R9" i="4"/>
  <c r="P9" i="4"/>
  <c r="O9" i="4"/>
  <c r="M9" i="4" l="1"/>
  <c r="L9" i="4" s="1"/>
  <c r="G9" i="4"/>
  <c r="F9" i="4" s="1"/>
  <c r="D9" i="4"/>
  <c r="J9" i="4" l="1"/>
  <c r="H9" i="1"/>
  <c r="J9" i="1" s="1"/>
  <c r="N20" i="3"/>
  <c r="N14" i="11"/>
  <c r="E8" i="2"/>
  <c r="G14" i="7" l="1"/>
  <c r="G12" i="7"/>
  <c r="F20" i="7"/>
  <c r="F19" i="7"/>
  <c r="F18" i="7"/>
  <c r="F15" i="7"/>
  <c r="F14" i="7"/>
  <c r="F13" i="7"/>
  <c r="F12" i="7"/>
  <c r="F11" i="7"/>
  <c r="F10" i="7"/>
  <c r="G11" i="2" l="1"/>
  <c r="F11" i="2"/>
  <c r="G10" i="2"/>
  <c r="G9" i="2"/>
  <c r="E16" i="2" l="1"/>
  <c r="D16" i="2"/>
  <c r="D8" i="2" l="1"/>
  <c r="G8" i="2" s="1"/>
  <c r="K14" i="2" l="1"/>
  <c r="K13" i="2"/>
  <c r="K12" i="2"/>
  <c r="G12" i="2"/>
  <c r="K9" i="2" l="1"/>
  <c r="K10" i="2"/>
  <c r="D22" i="8" l="1"/>
  <c r="F9" i="9" l="1"/>
  <c r="F8" i="8"/>
  <c r="R8" i="4"/>
  <c r="S8" i="4"/>
  <c r="C22" i="4"/>
  <c r="G10" i="7"/>
  <c r="G11" i="7"/>
  <c r="G13" i="7"/>
  <c r="G15" i="7"/>
  <c r="G18" i="7"/>
  <c r="G19" i="7"/>
  <c r="G20" i="7"/>
  <c r="K11" i="2"/>
  <c r="K17" i="2"/>
  <c r="K18" i="2"/>
  <c r="K19" i="2"/>
  <c r="G13" i="2"/>
  <c r="G14" i="2"/>
  <c r="G17" i="2"/>
  <c r="G18" i="2"/>
  <c r="G19" i="2"/>
  <c r="C24" i="1"/>
  <c r="H8" i="1"/>
  <c r="M14" i="11"/>
  <c r="C8" i="5"/>
  <c r="E9" i="5" s="1"/>
  <c r="F8" i="5" l="1"/>
  <c r="K20" i="4"/>
  <c r="C20" i="5"/>
  <c r="I22" i="4"/>
  <c r="K22" i="4"/>
  <c r="E22" i="4"/>
  <c r="I20" i="4"/>
  <c r="E20" i="4"/>
  <c r="F10" i="2"/>
  <c r="F9" i="2"/>
  <c r="E24" i="1"/>
  <c r="S20" i="4" l="1"/>
  <c r="C20" i="8"/>
  <c r="F14" i="2" l="1"/>
  <c r="F13" i="2"/>
  <c r="F12" i="2"/>
  <c r="F17" i="2" l="1"/>
  <c r="F19" i="2"/>
  <c r="F18" i="2"/>
  <c r="I16" i="2" l="1"/>
  <c r="J9" i="2"/>
  <c r="K16" i="2" l="1"/>
  <c r="G16" i="2"/>
  <c r="J16" i="2"/>
  <c r="L20" i="3"/>
  <c r="L14" i="11"/>
  <c r="H21" i="1" l="1"/>
  <c r="D20" i="5" l="1"/>
  <c r="D9" i="7"/>
  <c r="F16" i="2"/>
  <c r="K14" i="11"/>
  <c r="J14" i="11"/>
  <c r="I14" i="11"/>
  <c r="H14" i="11"/>
  <c r="G14" i="11"/>
  <c r="F14" i="11"/>
  <c r="E14" i="11"/>
  <c r="D14" i="11"/>
  <c r="C14" i="11"/>
  <c r="D23" i="9"/>
  <c r="C23" i="9"/>
  <c r="D21" i="9"/>
  <c r="C21" i="9"/>
  <c r="C22" i="8"/>
  <c r="D20" i="8"/>
  <c r="J18" i="2"/>
  <c r="J19" i="2"/>
  <c r="J17" i="2"/>
  <c r="E17" i="7"/>
  <c r="D17" i="7"/>
  <c r="E9" i="7"/>
  <c r="D22" i="5"/>
  <c r="C22" i="5"/>
  <c r="M8" i="4"/>
  <c r="C20" i="4"/>
  <c r="R20" i="4" s="1"/>
  <c r="G8" i="4"/>
  <c r="K20" i="3"/>
  <c r="J20" i="3"/>
  <c r="I20" i="3"/>
  <c r="H20" i="3"/>
  <c r="G20" i="3"/>
  <c r="F20" i="3"/>
  <c r="E20" i="3"/>
  <c r="D20" i="3"/>
  <c r="C20" i="3"/>
  <c r="I8" i="2"/>
  <c r="E15" i="2"/>
  <c r="E20" i="2" s="1"/>
  <c r="J14" i="2"/>
  <c r="J12" i="2"/>
  <c r="J11" i="2"/>
  <c r="J10" i="2"/>
  <c r="I24" i="1"/>
  <c r="G24" i="1"/>
  <c r="F24" i="1"/>
  <c r="D24" i="1"/>
  <c r="J8" i="1"/>
  <c r="J24" i="1" s="1"/>
  <c r="I21" i="1"/>
  <c r="G21" i="1"/>
  <c r="E21" i="1"/>
  <c r="D21" i="1"/>
  <c r="C21" i="1"/>
  <c r="F21" i="1"/>
  <c r="F17" i="7" l="1"/>
  <c r="G9" i="7"/>
  <c r="I15" i="2"/>
  <c r="I20" i="2" s="1"/>
  <c r="K8" i="2"/>
  <c r="G17" i="7"/>
  <c r="D16" i="7"/>
  <c r="D21" i="7" s="1"/>
  <c r="F9" i="7"/>
  <c r="F8" i="4"/>
  <c r="D8" i="4"/>
  <c r="F8" i="2"/>
  <c r="C9" i="6"/>
  <c r="D10" i="6" s="1"/>
  <c r="M20" i="3"/>
  <c r="M22" i="4"/>
  <c r="M20" i="4"/>
  <c r="D15" i="2"/>
  <c r="G22" i="4"/>
  <c r="G20" i="4"/>
  <c r="D20" i="4" s="1"/>
  <c r="L8" i="4"/>
  <c r="J8" i="4"/>
  <c r="J21" i="1"/>
  <c r="E22" i="1" s="1"/>
  <c r="H24" i="1"/>
  <c r="E16" i="7"/>
  <c r="J8" i="2"/>
  <c r="F16" i="7" l="1"/>
  <c r="K15" i="2"/>
  <c r="G16" i="7"/>
  <c r="C21" i="6"/>
  <c r="J15" i="2"/>
  <c r="J20" i="2" s="1"/>
  <c r="G15" i="2"/>
  <c r="C22" i="1"/>
  <c r="J20" i="4"/>
  <c r="L20" i="4"/>
  <c r="G22" i="1"/>
  <c r="I22" i="1"/>
  <c r="F22" i="1"/>
  <c r="D22" i="1"/>
  <c r="H22" i="1"/>
  <c r="F20" i="4"/>
  <c r="J22" i="1"/>
  <c r="F15" i="2"/>
  <c r="D20" i="2"/>
  <c r="G20" i="2" s="1"/>
  <c r="E21" i="7"/>
  <c r="G21" i="7" s="1"/>
  <c r="K20" i="2" l="1"/>
  <c r="F20" i="2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<sst xmlns="http://schemas.openxmlformats.org/spreadsheetml/2006/main" count="171" uniqueCount="88">
  <si>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</si>
  <si>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</si>
  <si>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</si>
  <si>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</si>
  <si>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</si>
  <si>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</si>
  <si>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</si>
  <si>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</si>
  <si>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</si>
  <si>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</si>
  <si>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</si>
  <si>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</si>
  <si>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</si>
  <si>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</si>
  <si>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</si>
  <si>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</si>
  <si>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</si>
  <si>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</si>
  <si>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</si>
  <si>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</si>
  <si>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</si>
  <si>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</si>
  <si>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</si>
  <si>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</si>
  <si>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</si>
  <si>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</si>
  <si>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</si>
  <si>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</si>
  <si>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</si>
  <si>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</si>
  <si>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</si>
  <si>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</si>
  <si>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</si>
  <si>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</si>
  <si>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</si>
  <si>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</si>
  <si>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</si>
  <si>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</si>
  <si>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</si>
  <si>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</si>
  <si>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</si>
  <si>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</si>
  <si>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</si>
  <si>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</si>
  <si>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</si>
  <si>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</si>
  <si>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</si>
  <si>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</si>
  <si>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</si>
  <si>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</si>
  <si>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</si>
  <si>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</si>
  <si>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</si>
  <si>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</si>
  <si>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</si>
  <si>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</si>
  <si>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</si>
  <si>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</si>
  <si>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</si>
  <si>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</si>
  <si>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</si>
  <si>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</si>
  <si>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</si>
  <si>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</si>
  <si>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</si>
  <si>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</si>
  <si>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</si>
  <si>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</si>
  <si>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</si>
  <si>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</si>
  <si>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</si>
  <si>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</si>
  <si>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</si>
  <si>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</si>
  <si>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</si>
  <si>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</si>
  <si>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</si>
  <si>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</si>
  <si>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</si>
  <si>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Marzo 2023</t>
  </si>
  <si>
    <t>Informe Abril 2023</t>
  </si>
  <si>
    <t>Fecha de Versión de Archivo:  02/05/2023</t>
  </si>
  <si>
    <t>ABRIL 2023</t>
  </si>
  <si>
    <t>COMPARATIVO MES DE ABRIL 2023 CON MARZO 2023 YABRIL 2022</t>
  </si>
  <si>
    <t>Recaudación
Abril 2023</t>
  </si>
  <si>
    <t>Recaudación
Abril 2022</t>
  </si>
  <si>
    <t>Recaudación
 Acumulada hasta
Abril 2023</t>
  </si>
  <si>
    <t>Recaudación
Acumulada hasta
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</si>
</sst>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C0A]mmmm\-yy;@"/>
    <numFmt numFmtId="165" formatCode="_ * #,##0.00_ ;_ * \-#,##0.00_ ;_ * &quot;-&quot;??_ ;_ @_ "/>
    <numFmt numFmtId="166" formatCode="_(* #,##0_);_(* \(#,##0\);_(* &quot;-&quot;??_);_(@_)"/>
    <numFmt numFmtId="167" formatCode="_-* #,##0.00\ _€_-;\-* #,##0.00\ _€_-;_-* &quot;-&quot;??\ _€_-;_-@_-"/>
    <numFmt numFmtId="168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70">
    <xf numFmtId="0" fontId="0" fillId="0" borderId="0" xfId="0"/>
    <xf numFmtId="43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6" fontId="10" fillId="6" borderId="1" xfId="1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6" fontId="3" fillId="9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43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43" fontId="3" fillId="16" borderId="1" xfId="0" applyNumberFormat="1" applyFont="1" applyFill="1" applyBorder="1" applyAlignment="1">
      <alignment horizontal="center" vertical="center" wrapText="1"/>
    </xf>
    <xf numFmtId="43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6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6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6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vertical="center" wrapText="1"/>
    </xf>
    <xf numFmtId="166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6" fontId="3" fillId="0" borderId="10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vertical="center" wrapText="1"/>
    </xf>
    <xf numFmtId="166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6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6" fontId="3" fillId="0" borderId="11" xfId="1" applyNumberFormat="1" applyFont="1" applyBorder="1" applyAlignment="1">
      <alignment vertical="center" wrapText="1"/>
    </xf>
    <xf numFmtId="166" fontId="3" fillId="0" borderId="3" xfId="1" applyNumberFormat="1" applyFont="1" applyBorder="1" applyAlignment="1">
      <alignment vertical="center" wrapText="1"/>
    </xf>
    <xf numFmtId="166" fontId="6" fillId="2" borderId="8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166" fontId="3" fillId="0" borderId="0" xfId="0" applyNumberFormat="1" applyFont="1"/>
    <xf numFmtId="166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6" fontId="3" fillId="0" borderId="1" xfId="1" applyNumberFormat="1" applyFont="1" applyBorder="1" applyAlignment="1">
      <alignment vertical="center"/>
    </xf>
    <xf numFmtId="166" fontId="20" fillId="0" borderId="1" xfId="1" applyNumberFormat="1" applyFont="1" applyBorder="1" applyAlignment="1">
      <alignment vertical="center"/>
    </xf>
    <xf numFmtId="166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6" fontId="20" fillId="0" borderId="7" xfId="1" applyNumberFormat="1" applyFont="1" applyBorder="1" applyAlignment="1">
      <alignment vertical="center" wrapText="1"/>
    </xf>
    <xf numFmtId="166" fontId="3" fillId="0" borderId="7" xfId="1" applyNumberFormat="1" applyFont="1" applyBorder="1" applyAlignment="1">
      <alignment vertical="center"/>
    </xf>
    <xf numFmtId="166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6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6" fontId="3" fillId="0" borderId="3" xfId="1" applyNumberFormat="1" applyFont="1" applyBorder="1" applyAlignment="1">
      <alignment vertical="center"/>
    </xf>
    <xf numFmtId="166" fontId="20" fillId="0" borderId="3" xfId="1" applyNumberFormat="1" applyFont="1" applyBorder="1" applyAlignment="1">
      <alignment vertical="center"/>
    </xf>
    <xf numFmtId="166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6" fontId="3" fillId="0" borderId="0" xfId="1" applyNumberFormat="1" applyFont="1" applyAlignment="1">
      <alignment vertical="center" wrapText="1"/>
    </xf>
    <xf numFmtId="43" fontId="3" fillId="0" borderId="6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6" fontId="3" fillId="0" borderId="0" xfId="0" applyNumberFormat="1" applyFont="1" applyAlignment="1">
      <alignment horizontal="center" vertical="center" wrapText="1"/>
    </xf>
    <xf numFmtId="168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6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6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6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43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43" fontId="8" fillId="7" borderId="2" xfId="1" applyFont="1" applyFill="1" applyBorder="1" applyAlignment="1">
      <alignment horizontal="left" vertical="center" wrapText="1"/>
    </xf>
    <xf numFmtId="43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 xr:uid="{00000000-0005-0000-0000-000001000000}"/>
    <cellStyle name="Millares 6" xfId="4" xr:uid="{00000000-0005-0000-0000-000002000000}"/>
    <cellStyle name="Normal" xfId="0" builtinId="0"/>
    <cellStyle name="Porcentaje" xfId="2" builtinId="5"/>
  </cellStyles>
  <dxfs count="83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A50021"/>
      <color rgb="FFCC8E9D"/>
      <color rgb="FF0000FF"/>
      <color rgb="FFCC0000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563584"/>
        <c:axId val="118565120"/>
      </c:barChart>
      <c:dateAx>
        <c:axId val="1185635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5120"/>
        <c:crosses val="autoZero"/>
        <c:auto val="1"/>
        <c:lblOffset val="100"/>
        <c:baseTimeUnit val="months"/>
      </c:dateAx>
      <c:valAx>
        <c:axId val="118565120"/>
        <c:scaling>
          <c:orientation val="minMax"/>
          <c:min val="18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1856358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E-2"/>
                <c:y val="0.42535168195718692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41856"/>
        <c:axId val="120447744"/>
      </c:lineChart>
      <c:dateAx>
        <c:axId val="120441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7744"/>
        <c:crosses val="autoZero"/>
        <c:auto val="1"/>
        <c:lblOffset val="100"/>
        <c:baseTimeUnit val="months"/>
      </c:dateAx>
      <c:valAx>
        <c:axId val="12044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41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1E-3"/>
                  <c:y val="-3.397027600849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55E-2"/>
                  <c:y val="-6.369426751592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71936"/>
        <c:axId val="120473472"/>
      </c:lineChart>
      <c:dateAx>
        <c:axId val="12047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3472"/>
        <c:crosses val="autoZero"/>
        <c:auto val="1"/>
        <c:lblOffset val="100"/>
        <c:baseTimeUnit val="months"/>
      </c:dateAx>
      <c:valAx>
        <c:axId val="120473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047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Abril 2023</a:t>
            </a:r>
          </a:p>
        </c:rich>
      </c:tx>
      <c:layout>
        <c:manualLayout>
          <c:xMode val="edge"/>
          <c:yMode val="edge"/>
          <c:x val="0.39393104195679585"/>
          <c:y val="2.543775051374395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Abril 2023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bubble3D val="0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5E-2"/>
                  <c:y val="-0.158817473397220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75E-4"/>
                  <c:y val="9.2062910740808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1E-3"/>
                  <c:y val="4.68046145394616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55E-2"/>
                  <c:y val="3.65338053673523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 Inmobiliario </c:v>
                  </c:pt>
                  <c:pt idx="3">
                    <c:v>Automotor</c:v>
                  </c:pt>
                  <c:pt idx="4">
                    <c:v> Sellos y Valores Fiscales 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1039652216.2899998</c:v>
                </c:pt>
                <c:pt idx="1">
                  <c:v>2506326639.25</c:v>
                </c:pt>
                <c:pt idx="2">
                  <c:v>130956015.34999998</c:v>
                </c:pt>
                <c:pt idx="3">
                  <c:v>472037241.16000009</c:v>
                </c:pt>
                <c:pt idx="4">
                  <c:v>404629995.79999995</c:v>
                </c:pt>
                <c:pt idx="5">
                  <c:v>683226.53999999992</c:v>
                </c:pt>
                <c:pt idx="6">
                  <c:v>349765594.34999996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Abril 2023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Abril 2023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bubble3D val="0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bubble3D val="0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bubble3D val="0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bubble3D val="0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0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6"/>
                  <c:y val="-0.110410630719841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24E-3"/>
                  <c:y val="2.8445054915802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73E-2"/>
                  <c:y val="3.93740256152191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 Inmobiliario </c:v>
                </c:pt>
                <c:pt idx="3">
                  <c:v>Automotor</c:v>
                </c:pt>
                <c:pt idx="4">
                  <c:v> Sellos y Valores Fiscales 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3738885048.7800002</c:v>
                </c:pt>
                <c:pt idx="1">
                  <c:v>8961911374.5599995</c:v>
                </c:pt>
                <c:pt idx="2">
                  <c:v>989117988.93000007</c:v>
                </c:pt>
                <c:pt idx="3">
                  <c:v>2111474078.6500001</c:v>
                </c:pt>
                <c:pt idx="4">
                  <c:v>1530806248.7100003</c:v>
                </c:pt>
                <c:pt idx="5">
                  <c:v>1098175.6099999999</c:v>
                </c:pt>
                <c:pt idx="6">
                  <c:v>1486280313.77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2"/>
  <sheetViews>
    <sheetView tabSelected="1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N17"/>
  <sheetViews>
    <sheetView showGridLines="0" topLeftCell="G1" workbookViewId="0">
      <selection activeCell="O21" sqref="O21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12700796423.34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989117988.92999995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2111474078.6500001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1530806248.7099998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1098175.6099999999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1486280313.77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18819573229.010002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0"/>
  <sheetViews>
    <sheetView showGridLines="0" topLeftCell="G1" workbookViewId="0">
      <selection activeCell="N11" sqref="N11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/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/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/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/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/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18819573229.010002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24"/>
  <sheetViews>
    <sheetView showGridLines="0" workbookViewId="0">
      <selection activeCell="L13" sqref="L13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1" si="0">+C8+D8+E8+F8+G8</f>
        <v>3685508814.9799995</v>
      </c>
      <c r="I8" s="31">
        <v>357953055.74000001</v>
      </c>
      <c r="J8" s="32">
        <f t="shared" ref="J8:J11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/>
      <c r="D12" s="31"/>
      <c r="E12" s="31"/>
      <c r="F12" s="31"/>
      <c r="G12" s="31"/>
      <c r="H12" s="32"/>
      <c r="I12" s="31"/>
      <c r="J12" s="32"/>
    </row>
    <row r="13" spans="2:22">
      <c r="B13" s="22">
        <v>45078</v>
      </c>
      <c r="C13" s="33"/>
      <c r="D13" s="33"/>
      <c r="E13" s="33"/>
      <c r="F13" s="33"/>
      <c r="G13" s="33"/>
      <c r="H13" s="34"/>
      <c r="I13" s="33"/>
      <c r="J13" s="34"/>
    </row>
    <row r="14" spans="2:22">
      <c r="B14" s="22">
        <v>45108</v>
      </c>
      <c r="C14" s="31"/>
      <c r="D14" s="31"/>
      <c r="E14" s="31"/>
      <c r="F14" s="31"/>
      <c r="G14" s="31"/>
      <c r="H14" s="32"/>
      <c r="I14" s="31"/>
      <c r="J14" s="32"/>
    </row>
    <row r="15" spans="2:22">
      <c r="B15" s="22">
        <v>45139</v>
      </c>
      <c r="C15" s="33"/>
      <c r="D15" s="33"/>
      <c r="E15" s="33"/>
      <c r="F15" s="33"/>
      <c r="G15" s="33"/>
      <c r="H15" s="34"/>
      <c r="I15" s="33"/>
      <c r="J15" s="34"/>
    </row>
    <row r="16" spans="2:22">
      <c r="B16" s="22">
        <v>45170</v>
      </c>
      <c r="C16" s="31"/>
      <c r="D16" s="31"/>
      <c r="E16" s="31"/>
      <c r="F16" s="31"/>
      <c r="G16" s="31"/>
      <c r="H16" s="32"/>
      <c r="I16" s="31"/>
      <c r="J16" s="32"/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12700796423.34</v>
      </c>
      <c r="D21" s="33">
        <f t="shared" si="2"/>
        <v>989117988.92999995</v>
      </c>
      <c r="E21" s="33">
        <f t="shared" si="2"/>
        <v>2111474078.6500001</v>
      </c>
      <c r="F21" s="33">
        <f t="shared" si="2"/>
        <v>1530806248.7099998</v>
      </c>
      <c r="G21" s="33">
        <f t="shared" si="2"/>
        <v>1098175.6099999999</v>
      </c>
      <c r="H21" s="23">
        <f>SUM(H8:H19)</f>
        <v>17333292915.240002</v>
      </c>
      <c r="I21" s="34">
        <f t="shared" si="2"/>
        <v>1486280313.77</v>
      </c>
      <c r="J21" s="23">
        <f t="shared" si="2"/>
        <v>18819573229.010002</v>
      </c>
    </row>
    <row r="22" spans="2:10" s="42" customFormat="1" ht="52.5" customHeight="1">
      <c r="B22" s="35" t="s">
        <v>59</v>
      </c>
      <c r="C22" s="43">
        <f>+C21*100/$J$21</f>
        <v>67.487164925514733</v>
      </c>
      <c r="D22" s="43">
        <f>+D21*100/$J$21</f>
        <v>5.2557939380118039</v>
      </c>
      <c r="E22" s="43">
        <f>+E21*100/$J$21</f>
        <v>11.219564083393795</v>
      </c>
      <c r="F22" s="43">
        <f>+F21*100/$J$21</f>
        <v>8.1341177617688594</v>
      </c>
      <c r="G22" s="43">
        <f>+G21*100/$J$21</f>
        <v>5.8352843427245402E-3</v>
      </c>
      <c r="H22" s="44">
        <f>+H21/J21*100</f>
        <v>92.102475993031931</v>
      </c>
      <c r="I22" s="43">
        <f>+I21*100/$J$21</f>
        <v>7.897524006968065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3175199105.835</v>
      </c>
      <c r="D24" s="36">
        <f t="shared" ref="D24:I24" si="3">+AVERAGE(D8:D19)</f>
        <v>247279497.23249999</v>
      </c>
      <c r="E24" s="36">
        <f>+AVERAGE(E8:E19)</f>
        <v>527868519.66250002</v>
      </c>
      <c r="F24" s="36">
        <f t="shared" si="3"/>
        <v>382701562.17749995</v>
      </c>
      <c r="G24" s="36">
        <f t="shared" si="3"/>
        <v>274543.90249999997</v>
      </c>
      <c r="H24" s="23">
        <f t="shared" si="3"/>
        <v>4333323228.8100004</v>
      </c>
      <c r="I24" s="37">
        <f t="shared" si="3"/>
        <v>371570078.4425</v>
      </c>
      <c r="J24" s="23">
        <f>+AVERAGE(J8:J19)</f>
        <v>4704893307.2525005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22"/>
  <sheetViews>
    <sheetView showGridLines="0" workbookViewId="0">
      <selection activeCell="E27" sqref="E27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2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/>
      <c r="D13" s="48"/>
      <c r="E13" s="48"/>
    </row>
    <row r="14" spans="2:22">
      <c r="B14" s="3">
        <v>45078</v>
      </c>
      <c r="C14" s="49"/>
      <c r="D14" s="7"/>
      <c r="E14" s="7"/>
    </row>
    <row r="15" spans="2:22">
      <c r="B15" s="3">
        <v>45108</v>
      </c>
      <c r="C15" s="47"/>
      <c r="D15" s="48"/>
      <c r="E15" s="48"/>
    </row>
    <row r="16" spans="2:22">
      <c r="B16" s="3">
        <v>45139</v>
      </c>
      <c r="C16" s="49"/>
      <c r="D16" s="7"/>
      <c r="E16" s="7"/>
    </row>
    <row r="17" spans="2:5">
      <c r="B17" s="3">
        <v>45170</v>
      </c>
      <c r="C17" s="47"/>
      <c r="D17" s="48"/>
      <c r="E17" s="48"/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18819573229.010002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82" priority="31" stopIfTrue="1" operator="lessThan">
      <formula>0</formula>
    </cfRule>
  </conditionalFormatting>
  <conditionalFormatting sqref="D10:E10 D12:E12 D14:E14 D16:E16 D18:E18">
    <cfRule type="cellIs" dxfId="81" priority="3" stopIfTrue="1" operator="lessThan">
      <formula>0</formula>
    </cfRule>
  </conditionalFormatting>
  <conditionalFormatting sqref="D11:E11 D13:E13 D15:E15 D17:E17 D19:E19">
    <cfRule type="cellIs" dxfId="80" priority="4" stopIfTrue="1" operator="lessThan">
      <formula>0</formula>
    </cfRule>
  </conditionalFormatting>
  <conditionalFormatting sqref="D20:E20">
    <cfRule type="cellIs" dxfId="7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22"/>
  <sheetViews>
    <sheetView showGridLines="0" topLeftCell="A4" zoomScale="110" zoomScaleNormal="110" workbookViewId="0">
      <selection activeCell="G10" sqref="G10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3545978855.54</v>
      </c>
      <c r="E8" s="49">
        <f>+E9+E10</f>
        <v>3328780516.6600003</v>
      </c>
      <c r="F8" s="54">
        <f>+D8-E8</f>
        <v>217198338.87999964</v>
      </c>
      <c r="G8" s="7">
        <f>+(D8/E8-1)*100</f>
        <v>6.5248621167108389</v>
      </c>
      <c r="H8" s="6"/>
      <c r="I8" s="49">
        <f>+I9+I10</f>
        <v>1568198835.7</v>
      </c>
      <c r="J8" s="49">
        <f>+J9+J10</f>
        <v>1977780019.8399997</v>
      </c>
      <c r="K8" s="7">
        <f>+(D8/I8-1)*100</f>
        <v>126.11793701257112</v>
      </c>
      <c r="L8" s="55"/>
      <c r="M8" s="56"/>
    </row>
    <row r="9" spans="2:14" s="27" customFormat="1" ht="21.95" customHeight="1">
      <c r="B9" s="57"/>
      <c r="C9" s="58" t="s">
        <v>44</v>
      </c>
      <c r="D9" s="59">
        <v>1039652216.2899998</v>
      </c>
      <c r="E9" s="59">
        <v>869480660.09000003</v>
      </c>
      <c r="F9" s="60">
        <f>+D9-E9</f>
        <v>170171556.19999981</v>
      </c>
      <c r="G9" s="61">
        <f>+(D9/E9-1)*100</f>
        <v>19.571632126053885</v>
      </c>
      <c r="H9" s="61"/>
      <c r="I9" s="62">
        <v>466356485.5</v>
      </c>
      <c r="J9" s="62">
        <f t="shared" ref="J9:J17" si="0">+D9-I9</f>
        <v>573295730.78999984</v>
      </c>
      <c r="K9" s="61">
        <f>+(D9/I9-1)*100</f>
        <v>122.930794063118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2506326639.25</v>
      </c>
      <c r="E10" s="59">
        <v>2459299856.5700002</v>
      </c>
      <c r="F10" s="60">
        <f>+D10-E10</f>
        <v>47026782.679999828</v>
      </c>
      <c r="G10" s="8">
        <f>+(D10/E10-1)*100</f>
        <v>1.9122020665502948</v>
      </c>
      <c r="H10" s="8"/>
      <c r="I10" s="62">
        <v>1101842350.2</v>
      </c>
      <c r="J10" s="62">
        <f t="shared" si="0"/>
        <v>1404484289.05</v>
      </c>
      <c r="K10" s="8">
        <f>+(D10/I10-1)*100</f>
        <v>127.46690021445137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130956015.34999998</v>
      </c>
      <c r="E11" s="49">
        <v>210281857.86000001</v>
      </c>
      <c r="F11" s="54">
        <f>+D11-E11</f>
        <v>-79325842.510000035</v>
      </c>
      <c r="G11" s="7">
        <f>+(D11/E11-1)*100</f>
        <v>-37.723578875174788</v>
      </c>
      <c r="H11" s="63"/>
      <c r="I11" s="49">
        <v>72983079.159999996</v>
      </c>
      <c r="J11" s="49">
        <f t="shared" si="0"/>
        <v>57972936.189999983</v>
      </c>
      <c r="K11" s="7">
        <f t="shared" ref="K11:K20" si="1">+(D11/I11-1)*100</f>
        <v>79.433393133368014</v>
      </c>
      <c r="L11" s="55"/>
    </row>
    <row r="12" spans="2:14" s="27" customFormat="1" ht="21.95" customHeight="1">
      <c r="B12" s="146" t="s">
        <v>14</v>
      </c>
      <c r="C12" s="147"/>
      <c r="D12" s="64">
        <v>472037241.16000009</v>
      </c>
      <c r="E12" s="64">
        <v>1214020184.47</v>
      </c>
      <c r="F12" s="65">
        <f t="shared" ref="F12:F16" si="2">+D12-E12</f>
        <v>-741982943.30999994</v>
      </c>
      <c r="G12" s="66">
        <f>+(D12/E12-1)*100</f>
        <v>-61.117842421534732</v>
      </c>
      <c r="H12" s="66"/>
      <c r="I12" s="62">
        <v>303713908.36000001</v>
      </c>
      <c r="J12" s="65">
        <f t="shared" si="0"/>
        <v>168323332.80000007</v>
      </c>
      <c r="K12" s="66">
        <f>+(D12/I12-1)*100</f>
        <v>55.421674202842894</v>
      </c>
      <c r="L12" s="55"/>
    </row>
    <row r="13" spans="2:14" s="27" customFormat="1" ht="21.95" customHeight="1">
      <c r="B13" s="150" t="s">
        <v>15</v>
      </c>
      <c r="C13" s="151"/>
      <c r="D13" s="49">
        <v>404629995.79999995</v>
      </c>
      <c r="E13" s="49">
        <v>458818512.75999999</v>
      </c>
      <c r="F13" s="54">
        <f t="shared" si="2"/>
        <v>-54188516.960000038</v>
      </c>
      <c r="G13" s="7">
        <f t="shared" ref="G13:G19" si="3">+(D13/E13-1)*100</f>
        <v>-11.810446931191098</v>
      </c>
      <c r="H13" s="66"/>
      <c r="I13" s="49">
        <v>141822626.40000001</v>
      </c>
      <c r="J13" s="54">
        <v>127682328.93000001</v>
      </c>
      <c r="K13" s="7">
        <f>+(D13/I13-1)*100</f>
        <v>185.30708115556371</v>
      </c>
      <c r="L13" s="55"/>
    </row>
    <row r="14" spans="2:14" s="27" customFormat="1" ht="21.95" customHeight="1">
      <c r="B14" s="146" t="s">
        <v>16</v>
      </c>
      <c r="C14" s="147"/>
      <c r="D14" s="64">
        <v>683226.53999999992</v>
      </c>
      <c r="E14" s="64">
        <v>279716.46999999997</v>
      </c>
      <c r="F14" s="62">
        <f t="shared" si="2"/>
        <v>403510.06999999995</v>
      </c>
      <c r="G14" s="67">
        <f t="shared" si="3"/>
        <v>144.25681476675288</v>
      </c>
      <c r="H14" s="66"/>
      <c r="I14" s="62">
        <v>53813.440000000002</v>
      </c>
      <c r="J14" s="65">
        <f t="shared" si="0"/>
        <v>629413.09999999986</v>
      </c>
      <c r="K14" s="67">
        <f>+(D14/I14-1)*100</f>
        <v>1169.6206375210354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4554285334.3900003</v>
      </c>
      <c r="E15" s="68">
        <f>+E8+E11+E12+E13+E14</f>
        <v>5212180788.2200012</v>
      </c>
      <c r="F15" s="69">
        <f t="shared" si="2"/>
        <v>-657895453.83000088</v>
      </c>
      <c r="G15" s="70">
        <f t="shared" si="3"/>
        <v>-12.622268500680256</v>
      </c>
      <c r="H15" s="66"/>
      <c r="I15" s="71">
        <f>+I8+I11+I12+I13+I14</f>
        <v>2086772263.0600004</v>
      </c>
      <c r="J15" s="68">
        <f t="shared" si="0"/>
        <v>2467513071.3299999</v>
      </c>
      <c r="K15" s="70">
        <f>+(D15/I15-1)*100</f>
        <v>118.2454412975419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349765594.34999996</v>
      </c>
      <c r="E16" s="59">
        <f>+SUM(E17:E19)</f>
        <v>435688275.79000002</v>
      </c>
      <c r="F16" s="65">
        <f t="shared" si="2"/>
        <v>-85922681.440000057</v>
      </c>
      <c r="G16" s="66">
        <f t="shared" si="3"/>
        <v>-19.721136926212456</v>
      </c>
      <c r="H16" s="61"/>
      <c r="I16" s="59">
        <f>+I17+I19+I18</f>
        <v>275152019.47000003</v>
      </c>
      <c r="J16" s="65">
        <f>+D16-I16</f>
        <v>74613574.879999936</v>
      </c>
      <c r="K16" s="66">
        <f t="shared" si="1"/>
        <v>27.11721870103705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254738168.55000001</v>
      </c>
      <c r="E17" s="59">
        <v>240547763.18000001</v>
      </c>
      <c r="F17" s="60">
        <f t="shared" ref="F17:F19" si="4">+D17-E17</f>
        <v>14190405.370000005</v>
      </c>
      <c r="G17" s="61">
        <f t="shared" si="3"/>
        <v>5.8992048740779346</v>
      </c>
      <c r="H17" s="66"/>
      <c r="I17" s="62">
        <v>215092451.03999999</v>
      </c>
      <c r="J17" s="60">
        <f t="shared" si="0"/>
        <v>39645717.51000002</v>
      </c>
      <c r="K17" s="61">
        <f t="shared" si="1"/>
        <v>18.431942784745736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52448582.349999994</v>
      </c>
      <c r="E18" s="76">
        <v>134891131.61000001</v>
      </c>
      <c r="F18" s="60">
        <f>+D18-E18</f>
        <v>-82442549.26000002</v>
      </c>
      <c r="G18" s="61">
        <f t="shared" si="3"/>
        <v>-61.117842422999011</v>
      </c>
      <c r="H18" s="66"/>
      <c r="I18" s="77">
        <v>33745989.810000002</v>
      </c>
      <c r="J18" s="60">
        <f>+D18-I18</f>
        <v>18702592.539999992</v>
      </c>
      <c r="K18" s="61">
        <f t="shared" si="1"/>
        <v>55.421674235371874</v>
      </c>
      <c r="L18" s="55"/>
    </row>
    <row r="19" spans="1:12" s="27" customFormat="1" ht="21.95" customHeight="1">
      <c r="A19" s="72"/>
      <c r="C19" s="74" t="s">
        <v>19</v>
      </c>
      <c r="D19" s="64">
        <v>42578843.450000003</v>
      </c>
      <c r="E19" s="64">
        <v>60249381</v>
      </c>
      <c r="F19" s="60">
        <f t="shared" si="4"/>
        <v>-17670537.549999997</v>
      </c>
      <c r="G19" s="61">
        <f t="shared" si="3"/>
        <v>-29.328994350995895</v>
      </c>
      <c r="H19" s="66"/>
      <c r="I19" s="65">
        <v>26313578.620000001</v>
      </c>
      <c r="J19" s="60">
        <f t="shared" ref="J19" si="5">+D19-I19</f>
        <v>16265264.830000002</v>
      </c>
      <c r="K19" s="61">
        <f t="shared" si="1"/>
        <v>61.813199431708469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4904050928.7400007</v>
      </c>
      <c r="E20" s="78">
        <f>+E15+E16</f>
        <v>5647869064.0100012</v>
      </c>
      <c r="F20" s="79">
        <f>+F15+F16</f>
        <v>-743818135.27000093</v>
      </c>
      <c r="G20" s="80">
        <f>+(D20/E20-1)*100</f>
        <v>-13.169889861821405</v>
      </c>
      <c r="H20" s="66"/>
      <c r="I20" s="79">
        <f>+I15+I16</f>
        <v>2361924282.5300007</v>
      </c>
      <c r="J20" s="81">
        <f>+J15+J16</f>
        <v>2542126646.21</v>
      </c>
      <c r="K20" s="80">
        <f t="shared" si="1"/>
        <v>107.62947250311403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8" priority="25" stopIfTrue="1" operator="lessThan">
      <formula>0</formula>
    </cfRule>
  </conditionalFormatting>
  <conditionalFormatting sqref="B11">
    <cfRule type="cellIs" dxfId="77" priority="18" stopIfTrue="1" operator="lessThan">
      <formula>0</formula>
    </cfRule>
  </conditionalFormatting>
  <conditionalFormatting sqref="B13">
    <cfRule type="cellIs" dxfId="76" priority="13" stopIfTrue="1" operator="lessThan">
      <formula>0</formula>
    </cfRule>
  </conditionalFormatting>
  <conditionalFormatting sqref="D8:E8">
    <cfRule type="cellIs" dxfId="75" priority="6" stopIfTrue="1" operator="lessThan">
      <formula>0</formula>
    </cfRule>
  </conditionalFormatting>
  <conditionalFormatting sqref="D11:E11">
    <cfRule type="cellIs" dxfId="74" priority="3" stopIfTrue="1" operator="lessThan">
      <formula>0</formula>
    </cfRule>
  </conditionalFormatting>
  <conditionalFormatting sqref="D13:E13">
    <cfRule type="cellIs" dxfId="73" priority="2" stopIfTrue="1" operator="lessThan">
      <formula>0</formula>
    </cfRule>
  </conditionalFormatting>
  <conditionalFormatting sqref="G8">
    <cfRule type="cellIs" dxfId="72" priority="4" stopIfTrue="1" operator="lessThan">
      <formula>0</formula>
    </cfRule>
  </conditionalFormatting>
  <conditionalFormatting sqref="G11">
    <cfRule type="cellIs" dxfId="71" priority="5" stopIfTrue="1" operator="lessThan">
      <formula>0</formula>
    </cfRule>
  </conditionalFormatting>
  <conditionalFormatting sqref="G13">
    <cfRule type="cellIs" dxfId="70" priority="10" stopIfTrue="1" operator="lessThan">
      <formula>0</formula>
    </cfRule>
  </conditionalFormatting>
  <conditionalFormatting sqref="G9:H10">
    <cfRule type="cellIs" dxfId="69" priority="46" stopIfTrue="1" operator="lessThan">
      <formula>0</formula>
    </cfRule>
  </conditionalFormatting>
  <conditionalFormatting sqref="G12:H12 H13:H15">
    <cfRule type="cellIs" dxfId="68" priority="44" stopIfTrue="1" operator="lessThan">
      <formula>0</formula>
    </cfRule>
  </conditionalFormatting>
  <conditionalFormatting sqref="G14:H20">
    <cfRule type="cellIs" dxfId="67" priority="1" stopIfTrue="1" operator="lessThan">
      <formula>0</formula>
    </cfRule>
  </conditionalFormatting>
  <conditionalFormatting sqref="H8:J8">
    <cfRule type="cellIs" dxfId="66" priority="21" stopIfTrue="1" operator="lessThan">
      <formula>0</formula>
    </cfRule>
  </conditionalFormatting>
  <conditionalFormatting sqref="H11:J11">
    <cfRule type="cellIs" dxfId="65" priority="16" stopIfTrue="1" operator="lessThan">
      <formula>0</formula>
    </cfRule>
  </conditionalFormatting>
  <conditionalFormatting sqref="I13">
    <cfRule type="cellIs" dxfId="64" priority="9" stopIfTrue="1" operator="lessThan">
      <formula>0</formula>
    </cfRule>
  </conditionalFormatting>
  <conditionalFormatting sqref="K8">
    <cfRule type="cellIs" dxfId="63" priority="19" stopIfTrue="1" operator="lessThan">
      <formula>0</formula>
    </cfRule>
  </conditionalFormatting>
  <conditionalFormatting sqref="K9:K10">
    <cfRule type="cellIs" dxfId="62" priority="39" stopIfTrue="1" operator="lessThan">
      <formula>0</formula>
    </cfRule>
  </conditionalFormatting>
  <conditionalFormatting sqref="K11">
    <cfRule type="cellIs" dxfId="61" priority="15" stopIfTrue="1" operator="lessThan">
      <formula>0</formula>
    </cfRule>
  </conditionalFormatting>
  <conditionalFormatting sqref="K12 K14:K20">
    <cfRule type="cellIs" dxfId="60" priority="38" stopIfTrue="1" operator="lessThan">
      <formula>0</formula>
    </cfRule>
  </conditionalFormatting>
  <conditionalFormatting sqref="K13">
    <cfRule type="cellIs" dxfId="59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21"/>
  <sheetViews>
    <sheetView showGridLines="0" workbookViewId="0">
      <selection activeCell="J18" sqref="J18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12700796423.34</v>
      </c>
      <c r="E9" s="83">
        <f>+E10+E11</f>
        <v>5781677167.9499998</v>
      </c>
      <c r="F9" s="54">
        <f>+D9-E9</f>
        <v>6919119255.3900003</v>
      </c>
      <c r="G9" s="7">
        <f>+(D9/E9-1)*100</f>
        <v>119.67322031996646</v>
      </c>
    </row>
    <row r="10" spans="2:7" ht="21.95" customHeight="1">
      <c r="B10" s="84"/>
      <c r="C10" s="85" t="s">
        <v>44</v>
      </c>
      <c r="D10" s="86">
        <v>3738885048.7800002</v>
      </c>
      <c r="E10" s="87">
        <v>1730433941.4300001</v>
      </c>
      <c r="F10" s="88">
        <f t="shared" ref="F10:F20" si="0">+D10-E10</f>
        <v>2008451107.3500001</v>
      </c>
      <c r="G10" s="89">
        <f t="shared" ref="G10:G20" si="1">+(D10/E10-1)*100</f>
        <v>116.06632644354234</v>
      </c>
    </row>
    <row r="11" spans="2:7" ht="21.95" customHeight="1">
      <c r="B11" s="84"/>
      <c r="C11" s="85" t="s">
        <v>45</v>
      </c>
      <c r="D11" s="86">
        <v>8961911374.5599995</v>
      </c>
      <c r="E11" s="87">
        <v>4051243226.52</v>
      </c>
      <c r="F11" s="88">
        <f t="shared" si="0"/>
        <v>4910668148.039999</v>
      </c>
      <c r="G11" s="90">
        <f t="shared" si="1"/>
        <v>121.21385642545688</v>
      </c>
    </row>
    <row r="12" spans="2:7" ht="21.95" customHeight="1">
      <c r="B12" s="150" t="s">
        <v>13</v>
      </c>
      <c r="C12" s="151"/>
      <c r="D12" s="49">
        <v>989117988.93000007</v>
      </c>
      <c r="E12" s="83">
        <v>573194012.20000005</v>
      </c>
      <c r="F12" s="54">
        <f t="shared" si="0"/>
        <v>415923976.73000002</v>
      </c>
      <c r="G12" s="7">
        <f>+(D12/E12-1)*100</f>
        <v>72.562512496183402</v>
      </c>
    </row>
    <row r="13" spans="2:7" ht="21.95" customHeight="1">
      <c r="B13" s="146" t="s">
        <v>14</v>
      </c>
      <c r="C13" s="147"/>
      <c r="D13" s="64">
        <v>2111474078.6500001</v>
      </c>
      <c r="E13" s="91">
        <v>1254955630.25</v>
      </c>
      <c r="F13" s="65">
        <f t="shared" si="0"/>
        <v>856518448.4000001</v>
      </c>
      <c r="G13" s="66">
        <f t="shared" si="1"/>
        <v>68.250894912465782</v>
      </c>
    </row>
    <row r="14" spans="2:7" ht="21.95" customHeight="1">
      <c r="B14" s="150" t="s">
        <v>15</v>
      </c>
      <c r="C14" s="151"/>
      <c r="D14" s="49">
        <v>1530806248.7100003</v>
      </c>
      <c r="E14" s="83">
        <v>532746165.36000001</v>
      </c>
      <c r="F14" s="54">
        <f t="shared" si="0"/>
        <v>998060083.35000026</v>
      </c>
      <c r="G14" s="7">
        <f>+(D14/E14-1)*100</f>
        <v>187.3425184910655</v>
      </c>
    </row>
    <row r="15" spans="2:7" ht="21.95" customHeight="1">
      <c r="B15" s="146" t="s">
        <v>16</v>
      </c>
      <c r="C15" s="147"/>
      <c r="D15" s="92">
        <v>1098175.6099999999</v>
      </c>
      <c r="E15" s="93">
        <v>281936.19</v>
      </c>
      <c r="F15" s="86">
        <f t="shared" si="0"/>
        <v>816239.41999999993</v>
      </c>
      <c r="G15" s="94">
        <f t="shared" si="1"/>
        <v>289.51211265215716</v>
      </c>
    </row>
    <row r="16" spans="2:7" ht="21.95" customHeight="1">
      <c r="B16" s="148" t="s">
        <v>7</v>
      </c>
      <c r="C16" s="149"/>
      <c r="D16" s="95">
        <f>+D9+D12+D13+D14+D15</f>
        <v>17333292915.240002</v>
      </c>
      <c r="E16" s="68">
        <f>+E9+E12+E13+E14+E15</f>
        <v>8142854911.9499989</v>
      </c>
      <c r="F16" s="69">
        <f t="shared" si="0"/>
        <v>9190438003.2900028</v>
      </c>
      <c r="G16" s="70">
        <f>+(D16/E16-1)*100</f>
        <v>112.86505903233804</v>
      </c>
    </row>
    <row r="17" spans="1:7" ht="21.95" customHeight="1">
      <c r="B17" s="146" t="s">
        <v>17</v>
      </c>
      <c r="C17" s="147"/>
      <c r="D17" s="92">
        <f>+D18+D20+D19</f>
        <v>1486280313.77</v>
      </c>
      <c r="E17" s="93">
        <f>+E18+E20+E19</f>
        <v>1049146086.86</v>
      </c>
      <c r="F17" s="92">
        <f t="shared" si="0"/>
        <v>437134226.90999997</v>
      </c>
      <c r="G17" s="90">
        <f t="shared" si="1"/>
        <v>41.665715803058802</v>
      </c>
    </row>
    <row r="18" spans="1:7" ht="21.95" customHeight="1">
      <c r="A18" s="96"/>
      <c r="B18" s="97"/>
      <c r="C18" s="98" t="s">
        <v>18</v>
      </c>
      <c r="D18" s="86">
        <v>1071399473.6599998</v>
      </c>
      <c r="E18" s="87">
        <v>809982964.80999994</v>
      </c>
      <c r="F18" s="88">
        <f t="shared" si="0"/>
        <v>261416508.8499999</v>
      </c>
      <c r="G18" s="89">
        <f t="shared" si="1"/>
        <v>32.274321832351262</v>
      </c>
    </row>
    <row r="19" spans="1:7" ht="21.95" customHeight="1">
      <c r="A19" s="96"/>
      <c r="B19" s="52"/>
      <c r="C19" s="99" t="s">
        <v>20</v>
      </c>
      <c r="D19" s="100">
        <v>233356536.42000002</v>
      </c>
      <c r="E19" s="101">
        <v>139440456.97</v>
      </c>
      <c r="F19" s="88">
        <f t="shared" si="0"/>
        <v>93916079.450000018</v>
      </c>
      <c r="G19" s="90">
        <f t="shared" si="1"/>
        <v>67.352102460626369</v>
      </c>
    </row>
    <row r="20" spans="1:7" ht="21.95" customHeight="1">
      <c r="A20" s="96"/>
      <c r="C20" s="98" t="s">
        <v>19</v>
      </c>
      <c r="D20" s="92">
        <v>181524303.69</v>
      </c>
      <c r="E20" s="93">
        <v>99722665.079999998</v>
      </c>
      <c r="F20" s="88">
        <f t="shared" si="0"/>
        <v>81801638.609999999</v>
      </c>
      <c r="G20" s="90">
        <f t="shared" si="1"/>
        <v>82.029134043275604</v>
      </c>
    </row>
    <row r="21" spans="1:7" ht="35.1" customHeight="1">
      <c r="A21" s="96"/>
      <c r="B21" s="160" t="s">
        <v>21</v>
      </c>
      <c r="C21" s="144"/>
      <c r="D21" s="102">
        <f>+D16+D17</f>
        <v>18819573229.010002</v>
      </c>
      <c r="E21" s="102">
        <f>+E16+E17</f>
        <v>9192000998.8099995</v>
      </c>
      <c r="F21" s="102">
        <f>+F16+F17</f>
        <v>9627572230.2000027</v>
      </c>
      <c r="G21" s="103">
        <f>+(D21/E21-1)*100</f>
        <v>104.73858990492269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8" priority="12" stopIfTrue="1" operator="lessThan">
      <formula>0</formula>
    </cfRule>
  </conditionalFormatting>
  <conditionalFormatting sqref="B12">
    <cfRule type="cellIs" dxfId="57" priority="8" stopIfTrue="1" operator="lessThan">
      <formula>0</formula>
    </cfRule>
  </conditionalFormatting>
  <conditionalFormatting sqref="B14">
    <cfRule type="cellIs" dxfId="56" priority="4" stopIfTrue="1" operator="lessThan">
      <formula>0</formula>
    </cfRule>
  </conditionalFormatting>
  <conditionalFormatting sqref="D9:E9">
    <cfRule type="cellIs" dxfId="55" priority="10" stopIfTrue="1" operator="lessThan">
      <formula>0</formula>
    </cfRule>
  </conditionalFormatting>
  <conditionalFormatting sqref="D12:E12">
    <cfRule type="cellIs" dxfId="54" priority="7" stopIfTrue="1" operator="lessThan">
      <formula>0</formula>
    </cfRule>
  </conditionalFormatting>
  <conditionalFormatting sqref="D14:E14">
    <cfRule type="cellIs" dxfId="53" priority="3" stopIfTrue="1" operator="lessThan">
      <formula>0</formula>
    </cfRule>
  </conditionalFormatting>
  <conditionalFormatting sqref="G9">
    <cfRule type="cellIs" dxfId="52" priority="9" stopIfTrue="1" operator="lessThan">
      <formula>0</formula>
    </cfRule>
  </conditionalFormatting>
  <conditionalFormatting sqref="G10:G11">
    <cfRule type="cellIs" dxfId="51" priority="17" stopIfTrue="1" operator="lessThan">
      <formula>0</formula>
    </cfRule>
  </conditionalFormatting>
  <conditionalFormatting sqref="G12">
    <cfRule type="cellIs" dxfId="50" priority="6" stopIfTrue="1" operator="lessThan">
      <formula>0</formula>
    </cfRule>
  </conditionalFormatting>
  <conditionalFormatting sqref="G13">
    <cfRule type="cellIs" dxfId="49" priority="5" stopIfTrue="1" operator="lessThan">
      <formula>0</formula>
    </cfRule>
  </conditionalFormatting>
  <conditionalFormatting sqref="G14">
    <cfRule type="cellIs" dxfId="48" priority="2" stopIfTrue="1" operator="lessThan">
      <formula>0</formula>
    </cfRule>
  </conditionalFormatting>
  <conditionalFormatting sqref="G15:G21">
    <cfRule type="cellIs" dxfId="4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22"/>
  <sheetViews>
    <sheetView showGridLines="0" topLeftCell="D1" zoomScaleNormal="100" workbookViewId="0">
      <selection activeCell="P15" sqref="P15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1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7" t="s">
        <v>36</v>
      </c>
      <c r="P6" s="167" t="s">
        <v>37</v>
      </c>
      <c r="R6" s="167" t="s">
        <v>36</v>
      </c>
      <c r="S6" s="167" t="s">
        <v>37</v>
      </c>
    </row>
    <row r="7" spans="2:21" ht="31.5" customHeight="1">
      <c r="B7" s="162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8"/>
      <c r="P7" s="168"/>
      <c r="R7" s="168"/>
      <c r="S7" s="168"/>
    </row>
    <row r="8" spans="2:21">
      <c r="B8" s="111">
        <v>44197</v>
      </c>
      <c r="C8" s="104">
        <v>1038769891.27</v>
      </c>
      <c r="D8" s="105">
        <f t="shared" ref="D8:D11" si="0">+C8/G8*100</f>
        <v>32.271284087185229</v>
      </c>
      <c r="E8" s="104">
        <v>2180097658.1700001</v>
      </c>
      <c r="F8" s="106">
        <f t="shared" ref="F8:F11" si="1">+E8/G8*100</f>
        <v>67.728715912814764</v>
      </c>
      <c r="G8" s="104">
        <f t="shared" ref="G8:G11" si="2">+C8+E8</f>
        <v>3218867549.4400001</v>
      </c>
      <c r="H8" s="27"/>
      <c r="I8" s="104">
        <v>482695758.06</v>
      </c>
      <c r="J8" s="105">
        <f t="shared" ref="J8:J11" si="3">+I8/M8*100</f>
        <v>32.765910337932638</v>
      </c>
      <c r="K8" s="107">
        <v>990468738.46000004</v>
      </c>
      <c r="L8" s="106">
        <f>+K8/M8*100</f>
        <v>67.234089662067362</v>
      </c>
      <c r="M8" s="104">
        <f>+I8+K8</f>
        <v>1473164496.52</v>
      </c>
      <c r="N8" s="27"/>
      <c r="O8" s="8">
        <v>83.8</v>
      </c>
      <c r="P8" s="8">
        <v>20.16</v>
      </c>
      <c r="Q8" s="27"/>
      <c r="R8" s="8">
        <f t="shared" ref="R8:R9" si="4">+(C8/I8-1)*100</f>
        <v>115.2017857884052</v>
      </c>
      <c r="S8" s="8">
        <f t="shared" ref="S8:S9" si="5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>+K9/M9*100</f>
        <v>69.741825592726002</v>
      </c>
      <c r="M9" s="113">
        <f>+I9+K9</f>
        <v>1258664419.6500001</v>
      </c>
      <c r="N9" s="27"/>
      <c r="O9" s="115">
        <f t="shared" ref="O9" si="6">+(C9/C8-1)*100</f>
        <v>-23.85394611669528</v>
      </c>
      <c r="P9" s="115">
        <f t="shared" ref="P9" si="7">+(E9/E8-1)*100</f>
        <v>-16.692391564948096</v>
      </c>
      <c r="Q9" s="27"/>
      <c r="R9" s="115">
        <f t="shared" si="4"/>
        <v>107.689278459056</v>
      </c>
      <c r="S9" s="115">
        <f t="shared" si="5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>+K10/M10*100</f>
        <v>72.967098814125038</v>
      </c>
      <c r="M10" s="104">
        <f>+I10+K10</f>
        <v>1481649416.0799999</v>
      </c>
      <c r="N10" s="27"/>
      <c r="O10" s="8">
        <f t="shared" ref="O10" si="8">+(C10/C9-1)*100</f>
        <v>9.924164021456594</v>
      </c>
      <c r="P10" s="8">
        <f t="shared" ref="P10" si="9">+(E10/E9-1)*100</f>
        <v>35.410040810559337</v>
      </c>
      <c r="Q10" s="27"/>
      <c r="R10" s="8">
        <f t="shared" ref="R10" si="10">+(C10/I10-1)*100</f>
        <v>117.08100088053169</v>
      </c>
      <c r="S10" s="8">
        <f t="shared" ref="S10" si="11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>+K11/M11*100</f>
        <v>70.261648275498729</v>
      </c>
      <c r="M11" s="113">
        <f>+I11+K11</f>
        <v>1568198835.7</v>
      </c>
      <c r="N11" s="27"/>
      <c r="O11" s="115">
        <f t="shared" ref="O11" si="12">+(C11/C10-1)*100</f>
        <v>19.571632126053906</v>
      </c>
      <c r="P11" s="115">
        <f t="shared" ref="P11" si="13">+(E11/E10-1)*100</f>
        <v>1.9122020665502948</v>
      </c>
      <c r="Q11" s="27"/>
      <c r="R11" s="115">
        <f t="shared" ref="R11" si="14">+(C11/I11-1)*100</f>
        <v>122.93079406311804</v>
      </c>
      <c r="S11" s="115">
        <f t="shared" ref="S11" si="15">+(E11/K11-1)*100</f>
        <v>127.46690021445137</v>
      </c>
      <c r="T11" s="108"/>
      <c r="U11" s="108"/>
    </row>
    <row r="12" spans="2:21">
      <c r="B12" s="111">
        <v>44317</v>
      </c>
      <c r="C12" s="104"/>
      <c r="D12" s="105"/>
      <c r="E12" s="104"/>
      <c r="F12" s="106"/>
      <c r="G12" s="104"/>
      <c r="H12" s="27"/>
      <c r="I12" s="104"/>
      <c r="J12" s="105"/>
      <c r="K12" s="107"/>
      <c r="L12" s="106"/>
      <c r="M12" s="104"/>
      <c r="N12" s="27"/>
      <c r="O12" s="8"/>
      <c r="P12" s="8"/>
      <c r="Q12" s="27"/>
      <c r="R12" s="8"/>
      <c r="S12" s="8"/>
      <c r="T12" s="108"/>
      <c r="U12" s="108"/>
    </row>
    <row r="13" spans="2:21">
      <c r="B13" s="111">
        <v>44348</v>
      </c>
      <c r="C13" s="33"/>
      <c r="D13" s="114"/>
      <c r="E13" s="33"/>
      <c r="F13" s="114"/>
      <c r="G13" s="33"/>
      <c r="H13" s="27"/>
      <c r="I13" s="113"/>
      <c r="J13" s="114"/>
      <c r="K13" s="33"/>
      <c r="L13" s="114"/>
      <c r="M13" s="33"/>
      <c r="N13" s="27"/>
      <c r="O13" s="115"/>
      <c r="P13" s="115"/>
      <c r="Q13" s="27"/>
      <c r="R13" s="115"/>
      <c r="S13" s="115"/>
      <c r="T13" s="108"/>
      <c r="U13" s="108"/>
    </row>
    <row r="14" spans="2:21">
      <c r="B14" s="111">
        <v>44378</v>
      </c>
      <c r="C14" s="104"/>
      <c r="D14" s="105"/>
      <c r="E14" s="104"/>
      <c r="F14" s="106"/>
      <c r="G14" s="104"/>
      <c r="H14" s="27"/>
      <c r="I14" s="104"/>
      <c r="J14" s="105"/>
      <c r="K14" s="107"/>
      <c r="L14" s="106"/>
      <c r="M14" s="104"/>
      <c r="N14" s="27"/>
      <c r="O14" s="8"/>
      <c r="P14" s="8"/>
      <c r="Q14" s="27"/>
      <c r="R14" s="8"/>
      <c r="S14" s="8"/>
      <c r="T14" s="108"/>
      <c r="U14" s="108"/>
    </row>
    <row r="15" spans="2:21">
      <c r="B15" s="111">
        <v>44409</v>
      </c>
      <c r="C15" s="33"/>
      <c r="D15" s="114"/>
      <c r="E15" s="33"/>
      <c r="F15" s="114"/>
      <c r="G15" s="33"/>
      <c r="H15" s="27"/>
      <c r="I15" s="33"/>
      <c r="J15" s="114"/>
      <c r="K15" s="33"/>
      <c r="L15" s="114"/>
      <c r="M15" s="33"/>
      <c r="N15" s="27"/>
      <c r="O15" s="115"/>
      <c r="P15" s="115"/>
      <c r="Q15" s="27"/>
      <c r="R15" s="115"/>
      <c r="S15" s="115"/>
      <c r="T15" s="108"/>
      <c r="U15" s="108"/>
    </row>
    <row r="16" spans="2:21">
      <c r="B16" s="111">
        <v>44440</v>
      </c>
      <c r="C16" s="104"/>
      <c r="D16" s="105"/>
      <c r="E16" s="104"/>
      <c r="F16" s="106"/>
      <c r="G16" s="104"/>
      <c r="H16" s="27"/>
      <c r="I16" s="104"/>
      <c r="J16" s="105"/>
      <c r="K16" s="107"/>
      <c r="L16" s="106"/>
      <c r="M16" s="104"/>
      <c r="N16" s="27"/>
      <c r="O16" s="8"/>
      <c r="P16" s="8"/>
      <c r="Q16" s="27"/>
      <c r="R16" s="8"/>
      <c r="S16" s="8"/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3738885048.7800002</v>
      </c>
      <c r="D20" s="1">
        <f t="shared" ref="D20" si="16">+C20/G20*100</f>
        <v>29.438193670352248</v>
      </c>
      <c r="E20" s="19">
        <f>SUM(E8:E19)</f>
        <v>8961911374.5599995</v>
      </c>
      <c r="F20" s="1">
        <f t="shared" ref="F20" si="17">+E20/G20*100</f>
        <v>70.561806329647752</v>
      </c>
      <c r="G20" s="19">
        <f>SUM(G8:G19)</f>
        <v>12700796423.34</v>
      </c>
      <c r="H20" s="20"/>
      <c r="I20" s="19">
        <f>SUM(I8:I19)</f>
        <v>1730433941.4300001</v>
      </c>
      <c r="J20" s="1">
        <f t="shared" ref="J20" si="18">+I20/M20*100</f>
        <v>29.929618883296406</v>
      </c>
      <c r="K20" s="19">
        <f>SUM(K8:K19)</f>
        <v>4051243226.5199995</v>
      </c>
      <c r="L20" s="1">
        <f>+K20/M20*100</f>
        <v>70.070381116703587</v>
      </c>
      <c r="M20" s="19">
        <f>SUM(M8:M19)</f>
        <v>5781677167.9499998</v>
      </c>
      <c r="N20" s="27"/>
      <c r="O20" s="1"/>
      <c r="P20" s="1"/>
      <c r="Q20" s="27"/>
      <c r="R20" s="1">
        <f t="shared" ref="R20" si="19">+(C20/I20-1)*100</f>
        <v>116.06632644354234</v>
      </c>
      <c r="S20" s="1">
        <f t="shared" ref="S20" si="20">+(E20/K20-1)*100</f>
        <v>121.21385642545692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934721262.19500005</v>
      </c>
      <c r="D22" s="110"/>
      <c r="E22" s="33">
        <f>+AVERAGE(E8:E19)</f>
        <v>2240477843.6399999</v>
      </c>
      <c r="F22" s="110"/>
      <c r="G22" s="19">
        <f>+AVERAGE(G8:G19)</f>
        <v>3175199105.835</v>
      </c>
      <c r="H22" s="110"/>
      <c r="I22" s="33">
        <f>+AVERAGE(I8:I19)</f>
        <v>432608485.35750002</v>
      </c>
      <c r="J22" s="110"/>
      <c r="K22" s="33">
        <f>+AVERAGE(K8:K19)</f>
        <v>1012810806.6299999</v>
      </c>
      <c r="L22" s="110"/>
      <c r="M22" s="19">
        <f>+AVERAGE(M8:M19)</f>
        <v>1445419291.9875</v>
      </c>
      <c r="N22" s="27"/>
      <c r="O22" s="27"/>
      <c r="P22" s="27"/>
      <c r="Q22" s="27"/>
      <c r="R22" s="27"/>
      <c r="S22" s="27"/>
    </row>
  </sheetData>
  <mergeCells count="19"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  <mergeCell ref="B4:G4"/>
    <mergeCell ref="I5:K5"/>
    <mergeCell ref="C5:G5"/>
    <mergeCell ref="B6:B7"/>
    <mergeCell ref="G6:G7"/>
    <mergeCell ref="C6:D6"/>
    <mergeCell ref="E6:F6"/>
  </mergeCells>
  <conditionalFormatting sqref="O8:P8">
    <cfRule type="cellIs" dxfId="46" priority="35" stopIfTrue="1" operator="lessThan">
      <formula>0</formula>
    </cfRule>
  </conditionalFormatting>
  <conditionalFormatting sqref="O9:P9">
    <cfRule type="cellIs" dxfId="45" priority="34" stopIfTrue="1" operator="lessThan">
      <formula>0</formula>
    </cfRule>
  </conditionalFormatting>
  <conditionalFormatting sqref="O10:P10">
    <cfRule type="cellIs" dxfId="44" priority="5" stopIfTrue="1" operator="lessThan">
      <formula>0</formula>
    </cfRule>
  </conditionalFormatting>
  <conditionalFormatting sqref="O10:P18">
    <cfRule type="cellIs" dxfId="43" priority="21" stopIfTrue="1" operator="lessThan">
      <formula>0</formula>
    </cfRule>
  </conditionalFormatting>
  <conditionalFormatting sqref="O11:P11 O17:P17">
    <cfRule type="cellIs" dxfId="42" priority="31" stopIfTrue="1" operator="lessThan">
      <formula>0</formula>
    </cfRule>
  </conditionalFormatting>
  <conditionalFormatting sqref="O13:P13">
    <cfRule type="cellIs" dxfId="41" priority="9" stopIfTrue="1" operator="lessThan">
      <formula>0</formula>
    </cfRule>
    <cfRule type="cellIs" dxfId="40" priority="30" stopIfTrue="1" operator="lessThan">
      <formula>0</formula>
    </cfRule>
  </conditionalFormatting>
  <conditionalFormatting sqref="O14:P14">
    <cfRule type="cellIs" dxfId="39" priority="7" stopIfTrue="1" operator="lessThan">
      <formula>0</formula>
    </cfRule>
  </conditionalFormatting>
  <conditionalFormatting sqref="O15:P15">
    <cfRule type="cellIs" dxfId="38" priority="28" stopIfTrue="1" operator="lessThan">
      <formula>0</formula>
    </cfRule>
    <cfRule type="cellIs" dxfId="37" priority="14" stopIfTrue="1" operator="lessThan">
      <formula>0</formula>
    </cfRule>
  </conditionalFormatting>
  <conditionalFormatting sqref="O16:P16">
    <cfRule type="cellIs" dxfId="36" priority="6" stopIfTrue="1" operator="lessThan">
      <formula>0</formula>
    </cfRule>
  </conditionalFormatting>
  <conditionalFormatting sqref="O19:P19">
    <cfRule type="cellIs" dxfId="35" priority="1" stopIfTrue="1" operator="lessThan">
      <formula>0</formula>
    </cfRule>
    <cfRule type="cellIs" dxfId="34" priority="4" stopIfTrue="1" operator="lessThan">
      <formula>0</formula>
    </cfRule>
  </conditionalFormatting>
  <conditionalFormatting sqref="P10:P18">
    <cfRule type="cellIs" dxfId="33" priority="10" stopIfTrue="1" operator="lessThan">
      <formula>0</formula>
    </cfRule>
  </conditionalFormatting>
  <conditionalFormatting sqref="P15">
    <cfRule type="cellIs" dxfId="32" priority="8" stopIfTrue="1" operator="lessThan">
      <formula>0</formula>
    </cfRule>
  </conditionalFormatting>
  <conditionalFormatting sqref="R8:S8">
    <cfRule type="cellIs" dxfId="31" priority="95" stopIfTrue="1" operator="lessThan">
      <formula>0</formula>
    </cfRule>
  </conditionalFormatting>
  <conditionalFormatting sqref="R9:S9">
    <cfRule type="cellIs" dxfId="30" priority="85" stopIfTrue="1" operator="lessThan">
      <formula>0</formula>
    </cfRule>
  </conditionalFormatting>
  <conditionalFormatting sqref="R10:S10">
    <cfRule type="cellIs" dxfId="29" priority="49" stopIfTrue="1" operator="lessThan">
      <formula>0</formula>
    </cfRule>
  </conditionalFormatting>
  <conditionalFormatting sqref="R10:S18">
    <cfRule type="cellIs" dxfId="28" priority="65" stopIfTrue="1" operator="lessThan">
      <formula>0</formula>
    </cfRule>
  </conditionalFormatting>
  <conditionalFormatting sqref="R11:S11 R17:S17">
    <cfRule type="cellIs" dxfId="27" priority="82" stopIfTrue="1" operator="lessThan">
      <formula>0</formula>
    </cfRule>
  </conditionalFormatting>
  <conditionalFormatting sqref="R13:S13">
    <cfRule type="cellIs" dxfId="26" priority="53" stopIfTrue="1" operator="lessThan">
      <formula>0</formula>
    </cfRule>
    <cfRule type="cellIs" dxfId="25" priority="80" stopIfTrue="1" operator="lessThan">
      <formula>0</formula>
    </cfRule>
  </conditionalFormatting>
  <conditionalFormatting sqref="R14:S14">
    <cfRule type="cellIs" dxfId="24" priority="51" stopIfTrue="1" operator="lessThan">
      <formula>0</formula>
    </cfRule>
  </conditionalFormatting>
  <conditionalFormatting sqref="R15:S15">
    <cfRule type="cellIs" dxfId="23" priority="58" stopIfTrue="1" operator="lessThan">
      <formula>0</formula>
    </cfRule>
    <cfRule type="cellIs" dxfId="22" priority="72" stopIfTrue="1" operator="lessThan">
      <formula>0</formula>
    </cfRule>
  </conditionalFormatting>
  <conditionalFormatting sqref="R16:S16">
    <cfRule type="cellIs" dxfId="21" priority="50" stopIfTrue="1" operator="lessThan">
      <formula>0</formula>
    </cfRule>
  </conditionalFormatting>
  <conditionalFormatting sqref="R19:S19">
    <cfRule type="cellIs" dxfId="20" priority="37" stopIfTrue="1" operator="lessThan">
      <formula>0</formula>
    </cfRule>
    <cfRule type="cellIs" dxfId="19" priority="40" stopIfTrue="1" operator="lessThan">
      <formula>0</formula>
    </cfRule>
  </conditionalFormatting>
  <conditionalFormatting sqref="S10:S18">
    <cfRule type="cellIs" dxfId="18" priority="54" stopIfTrue="1" operator="lessThan">
      <formula>0</formula>
    </cfRule>
  </conditionalFormatting>
  <conditionalFormatting sqref="S15">
    <cfRule type="cellIs" dxfId="17" priority="52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O22"/>
  <sheetViews>
    <sheetView showGridLines="0" workbookViewId="0">
      <selection activeCell="K9" sqref="K9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1" t="s">
        <v>0</v>
      </c>
      <c r="C6" s="139" t="s">
        <v>2</v>
      </c>
      <c r="D6" s="139"/>
      <c r="E6" s="139"/>
      <c r="F6" s="139"/>
    </row>
    <row r="7" spans="2:15" ht="48" customHeight="1">
      <c r="B7" s="162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>+(C9/C8-1)*100</f>
        <v>437.89159676472968</v>
      </c>
      <c r="F9" s="115">
        <f t="shared" ref="F9" si="1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>+(C10/C9-1)*100</f>
        <v>-61.50899277397631</v>
      </c>
      <c r="F10" s="8">
        <f t="shared" ref="F10" si="2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>+(C11/C10-1)*100</f>
        <v>-37.72357887517478</v>
      </c>
      <c r="F11" s="119">
        <f t="shared" ref="F11" si="3">+(C11/D11-1)*100</f>
        <v>79.433393133368043</v>
      </c>
    </row>
    <row r="12" spans="2:15">
      <c r="B12" s="111">
        <v>44317</v>
      </c>
      <c r="C12" s="104"/>
      <c r="D12" s="118"/>
      <c r="E12" s="8"/>
      <c r="F12" s="8"/>
    </row>
    <row r="13" spans="2:15">
      <c r="B13" s="111">
        <v>44348</v>
      </c>
      <c r="C13" s="113"/>
      <c r="D13" s="113"/>
      <c r="E13" s="115"/>
      <c r="F13" s="115"/>
    </row>
    <row r="14" spans="2:15">
      <c r="B14" s="111">
        <v>44378</v>
      </c>
      <c r="C14" s="104"/>
      <c r="D14" s="118"/>
      <c r="E14" s="6"/>
      <c r="F14" s="6"/>
    </row>
    <row r="15" spans="2:15">
      <c r="B15" s="111">
        <v>44409</v>
      </c>
      <c r="C15" s="113"/>
      <c r="D15" s="113"/>
      <c r="E15" s="115"/>
      <c r="F15" s="115"/>
    </row>
    <row r="16" spans="2:15">
      <c r="B16" s="111">
        <v>44440</v>
      </c>
      <c r="C16" s="104"/>
      <c r="D16" s="118"/>
      <c r="E16" s="6"/>
      <c r="F16" s="6"/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989117988.93000007</v>
      </c>
      <c r="D20" s="19">
        <f>SUM(D8:D19)</f>
        <v>573194012.20000005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247279497.23250002</v>
      </c>
      <c r="D22" s="113">
        <f>+AVERAGE(D8:D19)</f>
        <v>143298503.05000001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H23"/>
  <sheetViews>
    <sheetView showGridLines="0" workbookViewId="0">
      <selection activeCell="I20" sqref="I20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1" t="s">
        <v>0</v>
      </c>
      <c r="C6" s="139" t="s">
        <v>3</v>
      </c>
      <c r="D6" s="139"/>
      <c r="E6" s="139"/>
      <c r="F6" s="139"/>
    </row>
    <row r="7" spans="2:6" ht="48" customHeight="1">
      <c r="B7" s="162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>+(C9/C8-1)*100</f>
        <v>747.61705015202574</v>
      </c>
      <c r="F9" s="124">
        <f t="shared" ref="F9" si="1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>+(C10/C9-1)*100</f>
        <v>219.03960805821129</v>
      </c>
      <c r="F10" s="9">
        <f t="shared" ref="F10" si="2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>+(C11/C10-1)*100</f>
        <v>-61.117842421534739</v>
      </c>
      <c r="F11" s="124">
        <f t="shared" ref="F11" si="3">+(C11/D11-1)*100</f>
        <v>55.421674202842894</v>
      </c>
    </row>
    <row r="12" spans="2:6">
      <c r="B12" s="111">
        <v>44317</v>
      </c>
      <c r="C12" s="104"/>
      <c r="D12" s="118"/>
      <c r="E12" s="9"/>
      <c r="F12" s="9"/>
    </row>
    <row r="13" spans="2:6">
      <c r="B13" s="111">
        <v>44348</v>
      </c>
      <c r="C13" s="113"/>
      <c r="D13" s="113"/>
      <c r="E13" s="124"/>
      <c r="F13" s="124"/>
    </row>
    <row r="14" spans="2:6">
      <c r="B14" s="111">
        <v>44378</v>
      </c>
      <c r="C14" s="104"/>
      <c r="D14" s="118"/>
      <c r="E14" s="9"/>
      <c r="F14" s="9"/>
    </row>
    <row r="15" spans="2:6">
      <c r="B15" s="111">
        <v>44409</v>
      </c>
      <c r="C15" s="113"/>
      <c r="D15" s="113"/>
      <c r="E15" s="124"/>
      <c r="F15" s="124"/>
    </row>
    <row r="16" spans="2:6">
      <c r="B16" s="111">
        <v>44440</v>
      </c>
      <c r="C16" s="104"/>
      <c r="D16" s="118"/>
      <c r="E16" s="9"/>
      <c r="F16" s="9"/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2111474078.6500001</v>
      </c>
      <c r="D20" s="19">
        <f>SUM(D8:D19)</f>
        <v>1254955630.25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527868519.66250002</v>
      </c>
      <c r="D22" s="113">
        <f>+AVERAGE(D8:D19)</f>
        <v>313738907.5625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25"/>
  <sheetViews>
    <sheetView showGridLines="0" workbookViewId="0">
      <selection activeCell="G23" sqref="G23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1" t="s">
        <v>0</v>
      </c>
      <c r="C7" s="139" t="s">
        <v>42</v>
      </c>
      <c r="D7" s="139"/>
      <c r="E7" s="139"/>
      <c r="F7" s="139"/>
    </row>
    <row r="8" spans="2:6" ht="48" customHeight="1">
      <c r="B8" s="162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>+(C10/C9-1)*100</f>
        <v>8.4383954968867627</v>
      </c>
      <c r="F10" s="124">
        <f t="shared" ref="F10" si="1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>+(C11/C10-1)*100</f>
        <v>32.152952214776384</v>
      </c>
      <c r="F11" s="9">
        <f t="shared" ref="F11" si="2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>+(C12/C11-1)*100</f>
        <v>-11.810446931191077</v>
      </c>
      <c r="F12" s="124">
        <f t="shared" ref="F12" si="3">+(C12/D12-1)*100</f>
        <v>185.30708115556376</v>
      </c>
    </row>
    <row r="13" spans="2:6">
      <c r="B13" s="22">
        <v>45047</v>
      </c>
      <c r="C13" s="104"/>
      <c r="D13" s="118"/>
      <c r="E13" s="9"/>
      <c r="F13" s="9"/>
    </row>
    <row r="14" spans="2:6">
      <c r="B14" s="22">
        <v>45078</v>
      </c>
      <c r="C14" s="113"/>
      <c r="D14" s="113"/>
      <c r="E14" s="132"/>
      <c r="F14" s="124"/>
    </row>
    <row r="15" spans="2:6">
      <c r="B15" s="22">
        <v>45108</v>
      </c>
      <c r="C15" s="126"/>
      <c r="D15" s="118"/>
      <c r="E15" s="9"/>
      <c r="F15" s="9"/>
    </row>
    <row r="16" spans="2:6">
      <c r="B16" s="22">
        <v>45139</v>
      </c>
      <c r="C16" s="113"/>
      <c r="D16" s="113"/>
      <c r="E16" s="124"/>
      <c r="F16" s="124"/>
    </row>
    <row r="17" spans="2:6">
      <c r="B17" s="22">
        <v>45170</v>
      </c>
      <c r="C17" s="104"/>
      <c r="D17" s="118"/>
      <c r="E17" s="9"/>
      <c r="F17" s="9"/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1530806248.71</v>
      </c>
      <c r="D21" s="19">
        <f>SUM(D9:D20)</f>
        <v>532746165.36000001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382701562.17750001</v>
      </c>
      <c r="D23" s="113">
        <f>+AVERAGE(D9:D20)</f>
        <v>133186541.34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Maria Laura Garcia</cp:lastModifiedBy>
  <cp:lastPrinted>2023-03-02T15:30:06Z</cp:lastPrinted>
  <dcterms:created xsi:type="dcterms:W3CDTF">2020-06-22T13:36:33Z</dcterms:created>
  <dcterms:modified xsi:type="dcterms:W3CDTF">2023-05-03T16:08:24Z</dcterms:modified>
</cp:coreProperties>
</file>