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6" yWindow="960" windowWidth="7608" windowHeight="5268" tabRatio="64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INTERANUAL" sheetId="6" r:id="rId6"/>
  </sheets>
  <definedNames>
    <definedName name="_xlnm.Print_Area" localSheetId="0">'Hoja1'!$A$2:$M$118</definedName>
    <definedName name="_xlnm.Print_Area" localSheetId="1">'Hoja2'!$A$6:$H$43</definedName>
    <definedName name="_xlnm.Print_Area" localSheetId="2">'Hoja3'!$B$3:$K$49</definedName>
    <definedName name="_xlnm.Print_Area" localSheetId="3">'Hoja4'!$B$3:$K$49</definedName>
    <definedName name="_xlnm.Print_Area" localSheetId="4">'Hoja5'!$B$3:$L$44</definedName>
    <definedName name="_xlnm.Print_Area" localSheetId="5">'INTERANUAL'!$D$103</definedName>
  </definedNames>
  <calcPr fullCalcOnLoad="1"/>
</workbook>
</file>

<file path=xl/sharedStrings.xml><?xml version="1.0" encoding="utf-8"?>
<sst xmlns="http://schemas.openxmlformats.org/spreadsheetml/2006/main" count="397" uniqueCount="170">
  <si>
    <t xml:space="preserve">EXPRESADO EN PESOS </t>
  </si>
  <si>
    <t>MES</t>
  </si>
  <si>
    <t>INGRESOS BRUTOS</t>
  </si>
  <si>
    <t>INMOBILIARIO</t>
  </si>
  <si>
    <t>AUTOMOTOR</t>
  </si>
  <si>
    <t>SELLOS</t>
  </si>
  <si>
    <t>OTROS INGRESOS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</si>
  <si>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</si>
  <si>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</si>
  <si>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</si>
  <si>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</si>
  <si>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</si>
  <si>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</si>
  <si>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</si>
  <si>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</si>
  <si>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</si>
  <si>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</si>
  <si>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</si>
  <si>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</si>
  <si>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</si>
  <si>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</t>
  </si>
  <si>
    <t>RECAUDACION</t>
  </si>
  <si>
    <t>RELACION</t>
  </si>
  <si>
    <t>IMPUESTO</t>
  </si>
  <si>
    <t>%   MES</t>
  </si>
  <si>
    <t>%  AÑO</t>
  </si>
  <si>
    <t>ANTERIOR</t>
  </si>
  <si>
    <t>RECAUDACION GENERAL</t>
  </si>
  <si>
    <t>RELACION EN</t>
  </si>
  <si>
    <t>RELACION EN PORCENTAJES</t>
  </si>
  <si>
    <t>AÑO BASE</t>
  </si>
  <si>
    <t xml:space="preserve">             CONVENIO MULTILATERAL</t>
  </si>
  <si>
    <t xml:space="preserve">             LOCAL</t>
  </si>
  <si>
    <t>ACUMULADO</t>
  </si>
  <si>
    <t>INGR. BRUTOS</t>
  </si>
  <si>
    <t>LOTE HOGAR</t>
  </si>
  <si>
    <t>VIALIDAD</t>
  </si>
  <si>
    <t>DETALLE OTROS INGRESOS</t>
  </si>
  <si>
    <t>TOTAL GRAL.</t>
  </si>
  <si>
    <t xml:space="preserve">  </t>
  </si>
  <si>
    <t xml:space="preserve">      COMPARATIVO AÑOS ANTERIORES </t>
  </si>
  <si>
    <t>PROMEDIO</t>
  </si>
  <si>
    <t xml:space="preserve">                                     %</t>
  </si>
  <si>
    <t>COMPARATIVO AÑOS ANTERIORES</t>
  </si>
  <si>
    <t>SET</t>
  </si>
  <si>
    <t>TOTALES</t>
  </si>
  <si>
    <t>ACCION SOCIAL</t>
  </si>
  <si>
    <t>VARIOS /Fiscalia - Eventuales)</t>
  </si>
  <si>
    <t>VARIOS</t>
  </si>
  <si>
    <t>PESOS</t>
  </si>
  <si>
    <t>MES ANTERIOR</t>
  </si>
  <si>
    <t>AÑO ANTERIOR</t>
  </si>
  <si>
    <t xml:space="preserve">  ANALISIS DE RECAUDACION</t>
  </si>
  <si>
    <t>EXPRESADO EN PESOS Y PORCENTAJES</t>
  </si>
  <si>
    <t xml:space="preserve">ACCION SOCIAL </t>
  </si>
  <si>
    <t>.</t>
  </si>
  <si>
    <t>PLAN DE PAGO</t>
  </si>
  <si>
    <t>SUBTOTAL</t>
  </si>
  <si>
    <t>INGRESOS</t>
  </si>
  <si>
    <t>ACCION</t>
  </si>
  <si>
    <t>PLAN DE</t>
  </si>
  <si>
    <t>OTROS</t>
  </si>
  <si>
    <t>BRUTOS</t>
  </si>
  <si>
    <t>SOCIAL</t>
  </si>
  <si>
    <t>PAGO</t>
  </si>
  <si>
    <t>(FISC. - EVENT.)</t>
  </si>
  <si>
    <t>SUB TOTAL</t>
  </si>
  <si>
    <t>LOCAL</t>
  </si>
  <si>
    <t>CONVENIO</t>
  </si>
  <si>
    <t xml:space="preserve">RECAUDACION INGRESOS BRUTOS </t>
  </si>
  <si>
    <t>PORCENTAJES Y DIFERENCIAS</t>
  </si>
  <si>
    <t xml:space="preserve"> </t>
  </si>
  <si>
    <t>I.B. LOCAL</t>
  </si>
  <si>
    <t xml:space="preserve">VARIACION </t>
  </si>
  <si>
    <t>MENSUAL</t>
  </si>
  <si>
    <t>FEBRERO</t>
  </si>
  <si>
    <t>DIFERENCIA</t>
  </si>
  <si>
    <t>ENERO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</si>
  <si>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</si>
  <si>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</si>
  <si>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</si>
  <si>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</si>
  <si>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</si>
  <si>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</si>
  <si>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</si>
  <si>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</si>
  <si>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</si>
  <si>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</si>
  <si>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DIFEREN. EN %</t>
  </si>
  <si>
    <t>INTERANUAL</t>
  </si>
  <si>
    <t>ANALISIS DE RECAUDACION INTERANUAL</t>
  </si>
  <si>
    <t>RELACION %</t>
  </si>
  <si>
    <t>AÑOS</t>
  </si>
  <si>
    <t>PLAN DE PAGOS</t>
  </si>
  <si>
    <t>IN. BRUTOS LOCAL</t>
  </si>
  <si>
    <t>C. MULTILATERAL</t>
  </si>
  <si>
    <t>TOTAL 2016</t>
  </si>
  <si>
    <t>DETALLE OTROS INGRESOS TOTAL 2016</t>
  </si>
  <si>
    <t>RECAUDACION  AÑO 2017</t>
  </si>
  <si>
    <t>RECAUDACION   AÑO   2017</t>
  </si>
  <si>
    <t>COMPARATIVO INMOBILIARIO   -  AUTOMOTOR   2016  -  2017</t>
  </si>
  <si>
    <t xml:space="preserve">COMPARATIVO  2016  -  2017  IMP. DE SELLOS </t>
  </si>
  <si>
    <t>DIFERENCIA 2016  -  2017  -  PORCENTAJES</t>
  </si>
  <si>
    <t>2016 - 2017</t>
  </si>
  <si>
    <t>FEBRERO 2017 - VTO. PAGO ANUAL - SEMESTRAL</t>
  </si>
  <si>
    <t>ABRIL 2017 - VTO. PAGO ANUAL - SEMESTRAL</t>
  </si>
  <si>
    <t>COMPARATIVO I.B. LOCAL - CONVENIO      2016  -  2017</t>
  </si>
  <si>
    <t>NOVIEMBRE   2017</t>
  </si>
  <si>
    <t>RECAUDACION TOTAL AÑO 2017 -</t>
  </si>
  <si>
    <t>MES DE DICIEMBRE DEL AÑO 2017</t>
  </si>
  <si>
    <t>DICIEMBRE   2017</t>
  </si>
  <si>
    <t>DICIEMBRE   2016</t>
  </si>
  <si>
    <t xml:space="preserve">     RECAUDACION MES DE DICIEMBRE DEL 2017</t>
  </si>
  <si>
    <t xml:space="preserve"> CON DICIEMBRE DE 1994</t>
  </si>
  <si>
    <t xml:space="preserve"> CON DICIEMBRE DE 1995</t>
  </si>
  <si>
    <t xml:space="preserve"> CON DICIEMBRE DE 1996</t>
  </si>
  <si>
    <t xml:space="preserve"> CON DICIEMBRE DE 1997</t>
  </si>
  <si>
    <t xml:space="preserve"> CON DICIEMBRE DE 1998</t>
  </si>
  <si>
    <t xml:space="preserve"> CON DICIEMBRE DE 1999</t>
  </si>
  <si>
    <t xml:space="preserve"> CON DICIEMBRE DE 2000</t>
  </si>
  <si>
    <t xml:space="preserve"> CON DICIEMBRE DE 2001</t>
  </si>
  <si>
    <t xml:space="preserve"> CON DICIEMBRE DE 2002</t>
  </si>
  <si>
    <t xml:space="preserve"> CON DICIEMBRE DE 2003</t>
  </si>
  <si>
    <t xml:space="preserve"> CON DICIEMBRE DE 2004</t>
  </si>
  <si>
    <t xml:space="preserve"> CON DICIEMBRE DE 2005</t>
  </si>
  <si>
    <t xml:space="preserve"> CON DICIEMBRE DE 2006</t>
  </si>
  <si>
    <t xml:space="preserve"> CON DICIEMBRE DE 2007</t>
  </si>
  <si>
    <t xml:space="preserve"> CON DICIEMBRE DE 2008</t>
  </si>
  <si>
    <t xml:space="preserve"> CON DICIEMBRE DE 2009</t>
  </si>
  <si>
    <t xml:space="preserve"> CON DICIEMBRE DE 2010</t>
  </si>
  <si>
    <t xml:space="preserve"> CON DICIEMBRE DE 2011</t>
  </si>
  <si>
    <t xml:space="preserve"> CON DICIEMBRE DE 2012</t>
  </si>
  <si>
    <t xml:space="preserve"> CON DICIEMBRE DE 2013</t>
  </si>
  <si>
    <t xml:space="preserve"> CON DICIEMBRE DE 2014</t>
  </si>
  <si>
    <t xml:space="preserve"> CON DICIEMBRE DE 2015</t>
  </si>
  <si>
    <t xml:space="preserve"> CON DICIEMBRE DE 2016</t>
  </si>
  <si>
    <t xml:space="preserve">    CON DICIEMBRE DE 2017</t>
  </si>
  <si>
    <t xml:space="preserve"> RECAUDACION ACUMULADA AL MES DE DICIEMBRE DEL 2017</t>
  </si>
  <si>
    <t>A DICIEMBRE</t>
  </si>
  <si>
    <t xml:space="preserve"> ACUM. A DICIEMBRE DE 1994</t>
  </si>
  <si>
    <t xml:space="preserve"> ACUM. A DICIEMBRE DE 1995</t>
  </si>
  <si>
    <t xml:space="preserve"> ACUM. A DICIEMBRE DE 1996</t>
  </si>
  <si>
    <t xml:space="preserve"> ACUM. A DICIEMBRE DE 1997</t>
  </si>
  <si>
    <t xml:space="preserve"> ACUM. A DICIEMBRE DE 1998</t>
  </si>
  <si>
    <t xml:space="preserve"> ACUM. A DICIEMBRE DE 1999</t>
  </si>
  <si>
    <t xml:space="preserve"> ACUM. A DICIEMBRE DE 2000</t>
  </si>
  <si>
    <t xml:space="preserve"> ACUM. A DICIEMBRE DE 2001</t>
  </si>
  <si>
    <t xml:space="preserve"> ACUM. A DICIEMBRE DE 2002</t>
  </si>
  <si>
    <t xml:space="preserve"> ACUM. A DICIEMBRE DE 2003</t>
  </si>
  <si>
    <t xml:space="preserve"> ACUM. A DICIEMBRE DE 2004</t>
  </si>
  <si>
    <t xml:space="preserve"> ACUM. A DICIEMBRE DE 2005</t>
  </si>
  <si>
    <t xml:space="preserve"> ACUM. A DICIEMBRE DE 2006</t>
  </si>
  <si>
    <t xml:space="preserve"> ACUM. A DICIEMBRE DE 2007</t>
  </si>
  <si>
    <t xml:space="preserve"> ACUM. A DICIEMBRE DE 2008</t>
  </si>
  <si>
    <t xml:space="preserve"> ACUM. A DICIEMBRE DE 2009</t>
  </si>
  <si>
    <t xml:space="preserve"> ACUM. A DICIEMBRE DE 2010</t>
  </si>
  <si>
    <t xml:space="preserve"> ACUM. A DICIEMBRE DE 2011</t>
  </si>
  <si>
    <t xml:space="preserve"> ACUM. A DICIEMBRE DE 2012</t>
  </si>
  <si>
    <t xml:space="preserve"> ACUM. A DICIEMBRE DE 2013</t>
  </si>
  <si>
    <t xml:space="preserve"> ACUM. A DICIEMBRE DE 2014</t>
  </si>
  <si>
    <t xml:space="preserve"> ACUM. A DICIEMBRE DE 2015</t>
  </si>
  <si>
    <t xml:space="preserve"> ACUM. A DICIEMBRE DE 2016</t>
  </si>
  <si>
    <t xml:space="preserve">    ACUM. A DICIEMBRE DE 2017</t>
  </si>
  <si>
    <t>RECAUDACION TOTAL 2017</t>
  </si>
  <si>
    <t>TOTALES AÑO 2016  -  2017</t>
  </si>
  <si>
    <t>TOTAL 2017</t>
  </si>
  <si>
    <t>DETALLE OTROS INGRESOS TOTAL  2017</t>
  </si>
  <si>
    <t>DIFERENCIA 2016  -  2017  EN %</t>
  </si>
  <si>
    <t>AÑO 2017 DATOS TOTALES A DICIEMBRE</t>
  </si>
  <si>
    <t>TOTAL 2016 - 2017</t>
  </si>
</sst>
</file>

<file path=xl/styles.xml><?xml version="1.0" encoding="utf-8"?>
<styleSheet xmlns="http://schemas.openxmlformats.org/spreadsheetml/2006/main">
  <numFmts count="6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;[Red]0.00"/>
    <numFmt numFmtId="181" formatCode="#,##0;[Red]#,##0"/>
    <numFmt numFmtId="182" formatCode="h:mm"/>
    <numFmt numFmtId="183" formatCode="0_);\(0\)"/>
    <numFmt numFmtId="184" formatCode="0_);[Red]\(0\)"/>
    <numFmt numFmtId="185" formatCode="0.0"/>
    <numFmt numFmtId="186" formatCode="#,##0.0_);[Red]\(#,##0.0\)"/>
    <numFmt numFmtId="187" formatCode="0.0000000000"/>
    <numFmt numFmtId="188" formatCode="0.00000000000"/>
    <numFmt numFmtId="189" formatCode="0.000000000"/>
    <numFmt numFmtId="190" formatCode="0.00000000"/>
    <numFmt numFmtId="191" formatCode="0.0%"/>
    <numFmt numFmtId="192" formatCode="0.000000"/>
    <numFmt numFmtId="193" formatCode="0.00000"/>
    <numFmt numFmtId="194" formatCode="0.0000"/>
    <numFmt numFmtId="195" formatCode="0.000"/>
    <numFmt numFmtId="196" formatCode="d/m"/>
    <numFmt numFmtId="197" formatCode="mmmm\-yy"/>
    <numFmt numFmtId="198" formatCode="mmmmm"/>
    <numFmt numFmtId="199" formatCode="0.0000000"/>
    <numFmt numFmtId="200" formatCode="_(* #,##0.000_);_(* \(#,##0.000\);_(* &quot;-&quot;??_);_(@_)"/>
    <numFmt numFmtId="201" formatCode="mmm\-yyyy"/>
    <numFmt numFmtId="202" formatCode="d\-m\-yyyy"/>
    <numFmt numFmtId="203" formatCode="dd\-mm\-yy"/>
    <numFmt numFmtId="204" formatCode="0.000000%"/>
    <numFmt numFmtId="205" formatCode="0.000%"/>
    <numFmt numFmtId="206" formatCode="#,##0.000"/>
    <numFmt numFmtId="207" formatCode="_(* #,##0.0000_);_(* \(#,##0.0000\);_(* &quot;-&quot;??_);_(@_)"/>
    <numFmt numFmtId="208" formatCode="_ [$€-2]\ * #,##0.00_ ;_ [$€-2]\ * \-#,##0.00_ ;_ [$€-2]\ * &quot;-&quot;??_ "/>
    <numFmt numFmtId="209" formatCode="&quot;$&quot;\ #,##0.00"/>
    <numFmt numFmtId="210" formatCode="_(* #,##0.00_);_(* \(#,##0.00\);_(* \-??_);_(@_)"/>
    <numFmt numFmtId="211" formatCode="#,##0.0"/>
    <numFmt numFmtId="212" formatCode="_ * #,##0.0000_ ;_ * \-#,##0.0000_ ;_ * &quot;-&quot;????_ ;_ @_ "/>
    <numFmt numFmtId="213" formatCode="#,##0.0000"/>
    <numFmt numFmtId="214" formatCode="_ [$$-2C0A]\ * #,##0.00_ ;_ [$$-2C0A]\ * \-#,##0.00_ ;_ [$$-2C0A]\ * \-??_ ;_ @_ "/>
    <numFmt numFmtId="215" formatCode="mm/yy"/>
    <numFmt numFmtId="216" formatCode="dd/mmm"/>
    <numFmt numFmtId="217" formatCode="#,##0.00_ ;\-#,##0.00\ "/>
    <numFmt numFmtId="218" formatCode="_(\$* #,##0.00_);_(\$* \(#,##0.00\);_(\$* \-??_);_(@_)"/>
    <numFmt numFmtId="219" formatCode="#,##0.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</numFmts>
  <fonts count="56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7"/>
      <name val="Arial"/>
      <family val="0"/>
    </font>
    <font>
      <sz val="16"/>
      <name val="Arial"/>
      <family val="0"/>
    </font>
    <font>
      <b/>
      <sz val="5.5"/>
      <name val="Arial"/>
      <family val="2"/>
    </font>
    <font>
      <sz val="15.5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6.2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.25"/>
      <name val="Arial"/>
      <family val="2"/>
    </font>
    <font>
      <b/>
      <sz val="10"/>
      <name val="Batang"/>
      <family val="1"/>
    </font>
    <font>
      <b/>
      <sz val="5.25"/>
      <name val="Arial"/>
      <family val="2"/>
    </font>
    <font>
      <b/>
      <sz val="6.5"/>
      <name val="Arial"/>
      <family val="2"/>
    </font>
    <font>
      <b/>
      <sz val="5.75"/>
      <name val="Arial"/>
      <family val="2"/>
    </font>
    <font>
      <sz val="9.25"/>
      <name val="Arial"/>
      <family val="0"/>
    </font>
    <font>
      <b/>
      <sz val="14"/>
      <name val="Baskerville Old Face"/>
      <family val="1"/>
    </font>
    <font>
      <b/>
      <sz val="14"/>
      <name val="Arial"/>
      <family val="2"/>
    </font>
    <font>
      <sz val="11.75"/>
      <name val="Arial"/>
      <family val="0"/>
    </font>
    <font>
      <b/>
      <sz val="14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Book Antiqua"/>
      <family val="1"/>
    </font>
    <font>
      <b/>
      <sz val="8"/>
      <name val="Book Antiqua"/>
      <family val="1"/>
    </font>
    <font>
      <b/>
      <sz val="14"/>
      <name val="Calisto MT"/>
      <family val="1"/>
    </font>
    <font>
      <b/>
      <sz val="16"/>
      <name val="Book Antiqua"/>
      <family val="1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12"/>
      <color indexed="19"/>
      <name val="Book Antiqua"/>
      <family val="1"/>
    </font>
    <font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5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>
        <color indexed="5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medium"/>
      <right style="medium"/>
      <top style="thin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medium"/>
      <top style="thin"/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double"/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50"/>
      </left>
      <right>
        <color indexed="63"/>
      </right>
      <top style="double">
        <color indexed="50"/>
      </top>
      <bottom>
        <color indexed="63"/>
      </bottom>
    </border>
    <border>
      <left style="double">
        <color indexed="50"/>
      </left>
      <right>
        <color indexed="63"/>
      </right>
      <top>
        <color indexed="63"/>
      </top>
      <bottom>
        <color indexed="63"/>
      </bottom>
    </border>
    <border>
      <left style="double">
        <color indexed="50"/>
      </left>
      <right>
        <color indexed="63"/>
      </right>
      <top>
        <color indexed="63"/>
      </top>
      <bottom style="double">
        <color indexed="50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12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>
        <color indexed="12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 style="double">
        <color indexed="12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9"/>
      </left>
      <right>
        <color indexed="63"/>
      </right>
      <top style="double">
        <color indexed="19"/>
      </top>
      <bottom style="double">
        <color indexed="19"/>
      </bottom>
    </border>
    <border>
      <left>
        <color indexed="63"/>
      </left>
      <right style="double">
        <color indexed="19"/>
      </right>
      <top style="double">
        <color indexed="19"/>
      </top>
      <bottom style="double">
        <color indexed="19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12"/>
      </left>
      <right style="double">
        <color indexed="8"/>
      </right>
      <top style="double">
        <color indexed="12"/>
      </top>
      <bottom style="double">
        <color indexed="12"/>
      </bottom>
    </border>
    <border>
      <left style="double">
        <color indexed="8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0" borderId="3" xfId="0" applyFont="1" applyBorder="1" applyAlignment="1">
      <alignment horizontal="center"/>
    </xf>
    <xf numFmtId="0" fontId="0" fillId="3" borderId="0" xfId="0" applyFill="1" applyAlignment="1">
      <alignment/>
    </xf>
    <xf numFmtId="4" fontId="3" fillId="4" borderId="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4" borderId="4" xfId="0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4" fontId="3" fillId="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3" borderId="8" xfId="0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0" xfId="0" applyFill="1" applyAlignment="1">
      <alignment/>
    </xf>
    <xf numFmtId="4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9" fillId="4" borderId="11" xfId="0" applyNumberFormat="1" applyFont="1" applyFill="1" applyBorder="1" applyAlignment="1">
      <alignment/>
    </xf>
    <xf numFmtId="3" fontId="19" fillId="2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4" fontId="0" fillId="4" borderId="0" xfId="0" applyNumberFormat="1" applyFont="1" applyFill="1" applyAlignment="1">
      <alignment/>
    </xf>
    <xf numFmtId="3" fontId="3" fillId="5" borderId="11" xfId="0" applyNumberFormat="1" applyFont="1" applyFill="1" applyBorder="1" applyAlignment="1">
      <alignment/>
    </xf>
    <xf numFmtId="0" fontId="0" fillId="4" borderId="0" xfId="0" applyFill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horizontal="center"/>
    </xf>
    <xf numFmtId="4" fontId="2" fillId="4" borderId="7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4" fontId="2" fillId="4" borderId="16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4" fontId="3" fillId="4" borderId="1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4" borderId="22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4" fontId="16" fillId="0" borderId="6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4" borderId="23" xfId="0" applyNumberFormat="1" applyFont="1" applyFill="1" applyBorder="1" applyAlignment="1">
      <alignment/>
    </xf>
    <xf numFmtId="4" fontId="8" fillId="0" borderId="2" xfId="0" applyNumberFormat="1" applyFont="1" applyBorder="1" applyAlignment="1">
      <alignment/>
    </xf>
    <xf numFmtId="4" fontId="16" fillId="0" borderId="2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4" borderId="24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2" borderId="19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" fontId="2" fillId="3" borderId="19" xfId="0" applyNumberFormat="1" applyFont="1" applyFill="1" applyBorder="1" applyAlignment="1">
      <alignment horizontal="center"/>
    </xf>
    <xf numFmtId="4" fontId="2" fillId="4" borderId="19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4" borderId="26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171" fontId="2" fillId="0" borderId="20" xfId="18" applyFont="1" applyBorder="1" applyAlignment="1">
      <alignment horizontal="center"/>
    </xf>
    <xf numFmtId="4" fontId="16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8" fillId="0" borderId="26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3" fontId="0" fillId="0" borderId="2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2" fillId="4" borderId="16" xfId="0" applyFont="1" applyFill="1" applyBorder="1" applyAlignment="1">
      <alignment horizontal="center"/>
    </xf>
    <xf numFmtId="4" fontId="2" fillId="4" borderId="29" xfId="0" applyNumberFormat="1" applyFont="1" applyFill="1" applyBorder="1" applyAlignment="1">
      <alignment/>
    </xf>
    <xf numFmtId="4" fontId="2" fillId="4" borderId="30" xfId="0" applyNumberFormat="1" applyFont="1" applyFill="1" applyBorder="1" applyAlignment="1">
      <alignment/>
    </xf>
    <xf numFmtId="4" fontId="3" fillId="0" borderId="31" xfId="18" applyNumberFormat="1" applyFont="1" applyBorder="1" applyAlignment="1">
      <alignment horizontal="center"/>
    </xf>
    <xf numFmtId="4" fontId="19" fillId="3" borderId="2" xfId="0" applyNumberFormat="1" applyFont="1" applyFill="1" applyBorder="1" applyAlignment="1">
      <alignment/>
    </xf>
    <xf numFmtId="4" fontId="19" fillId="3" borderId="0" xfId="0" applyNumberFormat="1" applyFont="1" applyFill="1" applyAlignment="1">
      <alignment/>
    </xf>
    <xf numFmtId="4" fontId="19" fillId="3" borderId="0" xfId="20" applyNumberFormat="1" applyFont="1" applyFill="1" applyAlignment="1">
      <alignment/>
    </xf>
    <xf numFmtId="4" fontId="19" fillId="3" borderId="0" xfId="15" applyNumberFormat="1" applyFont="1" applyFill="1" applyAlignment="1">
      <alignment/>
    </xf>
    <xf numFmtId="4" fontId="0" fillId="4" borderId="0" xfId="0" applyNumberFormat="1" applyFill="1" applyAlignment="1">
      <alignment/>
    </xf>
    <xf numFmtId="4" fontId="6" fillId="6" borderId="19" xfId="0" applyNumberFormat="1" applyFont="1" applyFill="1" applyBorder="1" applyAlignment="1">
      <alignment/>
    </xf>
    <xf numFmtId="4" fontId="6" fillId="4" borderId="19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4" fontId="6" fillId="0" borderId="19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3" fillId="0" borderId="32" xfId="18" applyNumberFormat="1" applyFont="1" applyFill="1" applyBorder="1" applyAlignment="1" applyProtection="1">
      <alignment/>
      <protection/>
    </xf>
    <xf numFmtId="4" fontId="3" fillId="0" borderId="33" xfId="18" applyNumberFormat="1" applyFont="1" applyFill="1" applyBorder="1" applyAlignment="1" applyProtection="1">
      <alignment/>
      <protection/>
    </xf>
    <xf numFmtId="4" fontId="3" fillId="0" borderId="34" xfId="18" applyNumberFormat="1" applyFont="1" applyFill="1" applyBorder="1" applyAlignment="1" applyProtection="1">
      <alignment/>
      <protection/>
    </xf>
    <xf numFmtId="4" fontId="3" fillId="7" borderId="34" xfId="18" applyNumberFormat="1" applyFont="1" applyFill="1" applyBorder="1" applyAlignment="1" applyProtection="1">
      <alignment/>
      <protection/>
    </xf>
    <xf numFmtId="4" fontId="3" fillId="7" borderId="33" xfId="18" applyNumberFormat="1" applyFont="1" applyFill="1" applyBorder="1" applyAlignment="1" applyProtection="1">
      <alignment/>
      <protection/>
    </xf>
    <xf numFmtId="193" fontId="0" fillId="0" borderId="0" xfId="0" applyNumberFormat="1" applyAlignment="1">
      <alignment/>
    </xf>
    <xf numFmtId="0" fontId="5" fillId="4" borderId="35" xfId="0" applyFont="1" applyFill="1" applyBorder="1" applyAlignment="1">
      <alignment horizontal="center"/>
    </xf>
    <xf numFmtId="0" fontId="4" fillId="6" borderId="0" xfId="0" applyFont="1" applyFill="1" applyBorder="1" applyAlignment="1">
      <alignment/>
    </xf>
    <xf numFmtId="4" fontId="19" fillId="3" borderId="6" xfId="0" applyNumberFormat="1" applyFont="1" applyFill="1" applyBorder="1" applyAlignment="1">
      <alignment/>
    </xf>
    <xf numFmtId="0" fontId="3" fillId="8" borderId="36" xfId="0" applyFont="1" applyFill="1" applyBorder="1" applyAlignment="1">
      <alignment horizontal="center"/>
    </xf>
    <xf numFmtId="4" fontId="0" fillId="0" borderId="37" xfId="0" applyNumberFormat="1" applyBorder="1" applyAlignment="1">
      <alignment/>
    </xf>
    <xf numFmtId="4" fontId="3" fillId="7" borderId="38" xfId="0" applyNumberFormat="1" applyFont="1" applyFill="1" applyBorder="1" applyAlignment="1">
      <alignment/>
    </xf>
    <xf numFmtId="4" fontId="3" fillId="7" borderId="33" xfId="0" applyNumberFormat="1" applyFont="1" applyFill="1" applyBorder="1" applyAlignment="1">
      <alignment/>
    </xf>
    <xf numFmtId="4" fontId="0" fillId="7" borderId="39" xfId="0" applyNumberFormat="1" applyFill="1" applyBorder="1" applyAlignment="1">
      <alignment/>
    </xf>
    <xf numFmtId="4" fontId="0" fillId="7" borderId="40" xfId="0" applyNumberFormat="1" applyFill="1" applyBorder="1" applyAlignment="1">
      <alignment/>
    </xf>
    <xf numFmtId="4" fontId="3" fillId="7" borderId="41" xfId="0" applyNumberFormat="1" applyFont="1" applyFill="1" applyBorder="1" applyAlignment="1">
      <alignment/>
    </xf>
    <xf numFmtId="4" fontId="3" fillId="0" borderId="36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" fillId="0" borderId="4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" fillId="0" borderId="4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1" xfId="0" applyFont="1" applyBorder="1" applyAlignment="1">
      <alignment/>
    </xf>
    <xf numFmtId="0" fontId="1" fillId="2" borderId="43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4" fontId="16" fillId="0" borderId="26" xfId="0" applyNumberFormat="1" applyFont="1" applyBorder="1" applyAlignment="1">
      <alignment/>
    </xf>
    <xf numFmtId="0" fontId="1" fillId="4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3" fillId="0" borderId="44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19" fillId="4" borderId="19" xfId="0" applyNumberFormat="1" applyFont="1" applyFill="1" applyBorder="1" applyAlignment="1">
      <alignment/>
    </xf>
    <xf numFmtId="4" fontId="3" fillId="4" borderId="19" xfId="0" applyNumberFormat="1" applyFont="1" applyFill="1" applyBorder="1" applyAlignment="1">
      <alignment/>
    </xf>
    <xf numFmtId="4" fontId="19" fillId="2" borderId="2" xfId="0" applyNumberFormat="1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6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28" xfId="0" applyBorder="1" applyAlignment="1">
      <alignment/>
    </xf>
    <xf numFmtId="4" fontId="3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" fontId="0" fillId="4" borderId="2" xfId="0" applyNumberFormat="1" applyFont="1" applyFill="1" applyBorder="1" applyAlignment="1">
      <alignment/>
    </xf>
    <xf numFmtId="4" fontId="8" fillId="0" borderId="26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  <xf numFmtId="49" fontId="33" fillId="3" borderId="15" xfId="0" applyNumberFormat="1" applyFont="1" applyFill="1" applyBorder="1" applyAlignment="1">
      <alignment horizontal="center"/>
    </xf>
    <xf numFmtId="49" fontId="34" fillId="3" borderId="14" xfId="0" applyNumberFormat="1" applyFont="1" applyFill="1" applyBorder="1" applyAlignment="1">
      <alignment horizontal="center"/>
    </xf>
    <xf numFmtId="0" fontId="33" fillId="2" borderId="2" xfId="0" applyFont="1" applyFill="1" applyBorder="1" applyAlignment="1">
      <alignment/>
    </xf>
    <xf numFmtId="0" fontId="34" fillId="0" borderId="0" xfId="0" applyFont="1" applyAlignment="1">
      <alignment/>
    </xf>
    <xf numFmtId="0" fontId="34" fillId="2" borderId="0" xfId="0" applyFont="1" applyFill="1" applyAlignment="1">
      <alignment/>
    </xf>
    <xf numFmtId="0" fontId="33" fillId="4" borderId="9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2" borderId="14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34" fillId="2" borderId="51" xfId="0" applyFont="1" applyFill="1" applyBorder="1" applyAlignment="1">
      <alignment/>
    </xf>
    <xf numFmtId="0" fontId="34" fillId="2" borderId="52" xfId="0" applyFont="1" applyFill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4" fontId="3" fillId="3" borderId="19" xfId="0" applyNumberFormat="1" applyFont="1" applyFill="1" applyBorder="1" applyAlignment="1">
      <alignment/>
    </xf>
    <xf numFmtId="4" fontId="0" fillId="0" borderId="53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3" fillId="0" borderId="19" xfId="0" applyNumberFormat="1" applyFont="1" applyBorder="1" applyAlignment="1">
      <alignment/>
    </xf>
    <xf numFmtId="4" fontId="3" fillId="2" borderId="19" xfId="0" applyNumberFormat="1" applyFont="1" applyFill="1" applyBorder="1" applyAlignment="1">
      <alignment/>
    </xf>
    <xf numFmtId="0" fontId="34" fillId="3" borderId="10" xfId="0" applyFont="1" applyFill="1" applyBorder="1" applyAlignment="1">
      <alignment horizontal="center"/>
    </xf>
    <xf numFmtId="0" fontId="34" fillId="3" borderId="26" xfId="0" applyFont="1" applyFill="1" applyBorder="1" applyAlignment="1">
      <alignment horizontal="center"/>
    </xf>
    <xf numFmtId="4" fontId="36" fillId="3" borderId="14" xfId="0" applyNumberFormat="1" applyFont="1" applyFill="1" applyBorder="1" applyAlignment="1">
      <alignment horizontal="center"/>
    </xf>
    <xf numFmtId="4" fontId="36" fillId="3" borderId="14" xfId="0" applyNumberFormat="1" applyFont="1" applyFill="1" applyBorder="1" applyAlignment="1">
      <alignment horizontal="right"/>
    </xf>
    <xf numFmtId="4" fontId="36" fillId="4" borderId="15" xfId="0" applyNumberFormat="1" applyFont="1" applyFill="1" applyBorder="1" applyAlignment="1">
      <alignment horizontal="center"/>
    </xf>
    <xf numFmtId="4" fontId="36" fillId="4" borderId="0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34" fillId="9" borderId="57" xfId="0" applyFont="1" applyFill="1" applyBorder="1" applyAlignment="1">
      <alignment/>
    </xf>
    <xf numFmtId="4" fontId="0" fillId="4" borderId="39" xfId="0" applyNumberFormat="1" applyFill="1" applyBorder="1" applyAlignment="1">
      <alignment/>
    </xf>
    <xf numFmtId="4" fontId="0" fillId="4" borderId="58" xfId="0" applyNumberFormat="1" applyFill="1" applyBorder="1" applyAlignment="1">
      <alignment/>
    </xf>
    <xf numFmtId="0" fontId="3" fillId="10" borderId="2" xfId="0" applyFont="1" applyFill="1" applyBorder="1" applyAlignment="1">
      <alignment/>
    </xf>
    <xf numFmtId="0" fontId="3" fillId="2" borderId="44" xfId="0" applyFont="1" applyFill="1" applyBorder="1" applyAlignment="1">
      <alignment/>
    </xf>
    <xf numFmtId="0" fontId="3" fillId="2" borderId="45" xfId="0" applyFont="1" applyFill="1" applyBorder="1" applyAlignment="1">
      <alignment/>
    </xf>
    <xf numFmtId="0" fontId="3" fillId="2" borderId="59" xfId="0" applyFont="1" applyFill="1" applyBorder="1" applyAlignment="1">
      <alignment/>
    </xf>
    <xf numFmtId="4" fontId="3" fillId="2" borderId="39" xfId="0" applyNumberFormat="1" applyFont="1" applyFill="1" applyBorder="1" applyAlignment="1">
      <alignment/>
    </xf>
    <xf numFmtId="0" fontId="1" fillId="6" borderId="43" xfId="0" applyFont="1" applyFill="1" applyBorder="1" applyAlignment="1">
      <alignment/>
    </xf>
    <xf numFmtId="0" fontId="1" fillId="6" borderId="33" xfId="0" applyFont="1" applyFill="1" applyBorder="1" applyAlignment="1">
      <alignment/>
    </xf>
    <xf numFmtId="0" fontId="1" fillId="6" borderId="41" xfId="0" applyFont="1" applyFill="1" applyBorder="1" applyAlignment="1">
      <alignment/>
    </xf>
    <xf numFmtId="0" fontId="1" fillId="5" borderId="43" xfId="0" applyFont="1" applyFill="1" applyBorder="1" applyAlignment="1">
      <alignment/>
    </xf>
    <xf numFmtId="0" fontId="1" fillId="5" borderId="33" xfId="0" applyFont="1" applyFill="1" applyBorder="1" applyAlignment="1">
      <alignment/>
    </xf>
    <xf numFmtId="0" fontId="1" fillId="5" borderId="41" xfId="0" applyFont="1" applyFill="1" applyBorder="1" applyAlignment="1">
      <alignment/>
    </xf>
    <xf numFmtId="0" fontId="2" fillId="5" borderId="19" xfId="0" applyFont="1" applyFill="1" applyBorder="1" applyAlignment="1">
      <alignment horizontal="center"/>
    </xf>
    <xf numFmtId="0" fontId="1" fillId="3" borderId="43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41" xfId="0" applyFont="1" applyFill="1" applyBorder="1" applyAlignment="1">
      <alignment/>
    </xf>
    <xf numFmtId="4" fontId="11" fillId="4" borderId="0" xfId="0" applyNumberFormat="1" applyFont="1" applyFill="1" applyAlignment="1">
      <alignment/>
    </xf>
    <xf numFmtId="0" fontId="6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" fontId="3" fillId="12" borderId="2" xfId="0" applyNumberFormat="1" applyFont="1" applyFill="1" applyBorder="1" applyAlignment="1">
      <alignment/>
    </xf>
    <xf numFmtId="0" fontId="1" fillId="4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2" fontId="1" fillId="7" borderId="33" xfId="0" applyNumberFormat="1" applyFont="1" applyFill="1" applyBorder="1" applyAlignment="1">
      <alignment/>
    </xf>
    <xf numFmtId="2" fontId="1" fillId="7" borderId="38" xfId="0" applyNumberFormat="1" applyFont="1" applyFill="1" applyBorder="1" applyAlignment="1">
      <alignment/>
    </xf>
    <xf numFmtId="2" fontId="1" fillId="7" borderId="34" xfId="0" applyNumberFormat="1" applyFont="1" applyFill="1" applyBorder="1" applyAlignment="1">
      <alignment/>
    </xf>
    <xf numFmtId="4" fontId="39" fillId="13" borderId="27" xfId="0" applyNumberFormat="1" applyFont="1" applyFill="1" applyBorder="1" applyAlignment="1">
      <alignment horizontal="center"/>
    </xf>
    <xf numFmtId="4" fontId="40" fillId="4" borderId="2" xfId="0" applyNumberFormat="1" applyFont="1" applyFill="1" applyBorder="1" applyAlignment="1">
      <alignment/>
    </xf>
    <xf numFmtId="4" fontId="41" fillId="4" borderId="0" xfId="0" applyNumberFormat="1" applyFont="1" applyFill="1" applyAlignment="1">
      <alignment/>
    </xf>
    <xf numFmtId="4" fontId="40" fillId="4" borderId="0" xfId="0" applyNumberFormat="1" applyFont="1" applyFill="1" applyAlignment="1">
      <alignment/>
    </xf>
    <xf numFmtId="0" fontId="40" fillId="4" borderId="0" xfId="0" applyFont="1" applyFill="1" applyAlignment="1">
      <alignment/>
    </xf>
    <xf numFmtId="4" fontId="42" fillId="4" borderId="0" xfId="0" applyNumberFormat="1" applyFont="1" applyFill="1" applyAlignment="1">
      <alignment/>
    </xf>
    <xf numFmtId="0" fontId="43" fillId="4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17" xfId="0" applyFont="1" applyBorder="1" applyAlignment="1">
      <alignment/>
    </xf>
    <xf numFmtId="4" fontId="45" fillId="4" borderId="27" xfId="0" applyNumberFormat="1" applyFont="1" applyFill="1" applyBorder="1" applyAlignment="1">
      <alignment horizontal="center"/>
    </xf>
    <xf numFmtId="2" fontId="46" fillId="0" borderId="0" xfId="0" applyNumberFormat="1" applyFont="1" applyAlignment="1">
      <alignment horizontal="center"/>
    </xf>
    <xf numFmtId="2" fontId="47" fillId="0" borderId="2" xfId="0" applyNumberFormat="1" applyFont="1" applyBorder="1" applyAlignment="1">
      <alignment/>
    </xf>
    <xf numFmtId="2" fontId="47" fillId="4" borderId="2" xfId="0" applyNumberFormat="1" applyFont="1" applyFill="1" applyBorder="1" applyAlignment="1">
      <alignment/>
    </xf>
    <xf numFmtId="4" fontId="40" fillId="4" borderId="2" xfId="0" applyNumberFormat="1" applyFont="1" applyFill="1" applyBorder="1" applyAlignment="1">
      <alignment horizontal="center"/>
    </xf>
    <xf numFmtId="3" fontId="33" fillId="3" borderId="19" xfId="0" applyNumberFormat="1" applyFont="1" applyFill="1" applyBorder="1" applyAlignment="1">
      <alignment horizontal="center"/>
    </xf>
    <xf numFmtId="2" fontId="40" fillId="7" borderId="34" xfId="0" applyNumberFormat="1" applyFont="1" applyFill="1" applyBorder="1" applyAlignment="1">
      <alignment horizontal="center"/>
    </xf>
    <xf numFmtId="3" fontId="33" fillId="3" borderId="60" xfId="0" applyNumberFormat="1" applyFont="1" applyFill="1" applyBorder="1" applyAlignment="1">
      <alignment horizontal="center"/>
    </xf>
    <xf numFmtId="2" fontId="46" fillId="7" borderId="33" xfId="0" applyNumberFormat="1" applyFont="1" applyFill="1" applyBorder="1" applyAlignment="1">
      <alignment horizontal="center"/>
    </xf>
    <xf numFmtId="2" fontId="46" fillId="4" borderId="33" xfId="0" applyNumberFormat="1" applyFont="1" applyFill="1" applyBorder="1" applyAlignment="1">
      <alignment/>
    </xf>
    <xf numFmtId="2" fontId="46" fillId="7" borderId="38" xfId="0" applyNumberFormat="1" applyFont="1" applyFill="1" applyBorder="1" applyAlignment="1">
      <alignment horizontal="center"/>
    </xf>
    <xf numFmtId="2" fontId="46" fillId="7" borderId="41" xfId="0" applyNumberFormat="1" applyFont="1" applyFill="1" applyBorder="1" applyAlignment="1">
      <alignment horizontal="center"/>
    </xf>
    <xf numFmtId="2" fontId="46" fillId="4" borderId="41" xfId="0" applyNumberFormat="1" applyFont="1" applyFill="1" applyBorder="1" applyAlignment="1">
      <alignment/>
    </xf>
    <xf numFmtId="3" fontId="19" fillId="2" borderId="19" xfId="0" applyNumberFormat="1" applyFont="1" applyFill="1" applyBorder="1" applyAlignment="1">
      <alignment horizontal="center"/>
    </xf>
    <xf numFmtId="4" fontId="2" fillId="0" borderId="61" xfId="0" applyNumberFormat="1" applyFont="1" applyBorder="1" applyAlignment="1">
      <alignment/>
    </xf>
    <xf numFmtId="4" fontId="8" fillId="0" borderId="62" xfId="0" applyNumberFormat="1" applyFont="1" applyBorder="1" applyAlignment="1">
      <alignment/>
    </xf>
    <xf numFmtId="4" fontId="16" fillId="0" borderId="63" xfId="0" applyNumberFormat="1" applyFont="1" applyBorder="1" applyAlignment="1">
      <alignment/>
    </xf>
    <xf numFmtId="4" fontId="8" fillId="0" borderId="63" xfId="0" applyNumberFormat="1" applyFont="1" applyBorder="1" applyAlignment="1">
      <alignment/>
    </xf>
    <xf numFmtId="4" fontId="2" fillId="0" borderId="64" xfId="0" applyNumberFormat="1" applyFont="1" applyBorder="1" applyAlignment="1">
      <alignment/>
    </xf>
    <xf numFmtId="2" fontId="49" fillId="5" borderId="38" xfId="0" applyNumberFormat="1" applyFont="1" applyFill="1" applyBorder="1" applyAlignment="1">
      <alignment/>
    </xf>
    <xf numFmtId="4" fontId="46" fillId="4" borderId="14" xfId="0" applyNumberFormat="1" applyFont="1" applyFill="1" applyBorder="1" applyAlignment="1">
      <alignment horizontal="right"/>
    </xf>
    <xf numFmtId="2" fontId="46" fillId="0" borderId="14" xfId="0" applyNumberFormat="1" applyFont="1" applyBorder="1" applyAlignment="1">
      <alignment horizontal="right"/>
    </xf>
    <xf numFmtId="4" fontId="46" fillId="4" borderId="55" xfId="0" applyNumberFormat="1" applyFont="1" applyFill="1" applyBorder="1" applyAlignment="1">
      <alignment horizontal="right"/>
    </xf>
    <xf numFmtId="2" fontId="46" fillId="0" borderId="55" xfId="0" applyNumberFormat="1" applyFont="1" applyBorder="1" applyAlignment="1">
      <alignment horizontal="right"/>
    </xf>
    <xf numFmtId="2" fontId="46" fillId="0" borderId="0" xfId="0" applyNumberFormat="1" applyFont="1" applyBorder="1" applyAlignment="1">
      <alignment horizontal="center"/>
    </xf>
    <xf numFmtId="2" fontId="46" fillId="0" borderId="65" xfId="0" applyNumberFormat="1" applyFont="1" applyBorder="1" applyAlignment="1">
      <alignment horizontal="center"/>
    </xf>
    <xf numFmtId="0" fontId="1" fillId="0" borderId="66" xfId="0" applyFont="1" applyBorder="1" applyAlignment="1">
      <alignment/>
    </xf>
    <xf numFmtId="0" fontId="3" fillId="0" borderId="67" xfId="0" applyFont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0" fillId="0" borderId="67" xfId="0" applyBorder="1" applyAlignment="1">
      <alignment/>
    </xf>
    <xf numFmtId="0" fontId="3" fillId="0" borderId="68" xfId="0" applyFont="1" applyBorder="1" applyAlignment="1">
      <alignment horizontal="center"/>
    </xf>
    <xf numFmtId="0" fontId="0" fillId="0" borderId="69" xfId="0" applyBorder="1" applyAlignment="1">
      <alignment/>
    </xf>
    <xf numFmtId="0" fontId="2" fillId="4" borderId="70" xfId="0" applyFont="1" applyFill="1" applyBorder="1" applyAlignment="1">
      <alignment horizontal="center"/>
    </xf>
    <xf numFmtId="3" fontId="32" fillId="2" borderId="71" xfId="0" applyNumberFormat="1" applyFont="1" applyFill="1" applyBorder="1" applyAlignment="1">
      <alignment horizontal="center"/>
    </xf>
    <xf numFmtId="3" fontId="32" fillId="0" borderId="47" xfId="0" applyNumberFormat="1" applyFont="1" applyBorder="1" applyAlignment="1">
      <alignment horizontal="center"/>
    </xf>
    <xf numFmtId="3" fontId="32" fillId="5" borderId="71" xfId="0" applyNumberFormat="1" applyFont="1" applyFill="1" applyBorder="1" applyAlignment="1">
      <alignment horizontal="center"/>
    </xf>
    <xf numFmtId="4" fontId="20" fillId="0" borderId="2" xfId="0" applyNumberFormat="1" applyFont="1" applyBorder="1" applyAlignment="1">
      <alignment/>
    </xf>
    <xf numFmtId="4" fontId="8" fillId="0" borderId="31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3" fontId="32" fillId="0" borderId="72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4" fontId="0" fillId="4" borderId="6" xfId="0" applyNumberFormat="1" applyFont="1" applyFill="1" applyBorder="1" applyAlignment="1">
      <alignment/>
    </xf>
    <xf numFmtId="4" fontId="3" fillId="4" borderId="6" xfId="0" applyNumberFormat="1" applyFont="1" applyFill="1" applyBorder="1" applyAlignment="1">
      <alignment/>
    </xf>
    <xf numFmtId="0" fontId="1" fillId="4" borderId="73" xfId="0" applyFont="1" applyFill="1" applyBorder="1" applyAlignment="1">
      <alignment horizontal="center"/>
    </xf>
    <xf numFmtId="49" fontId="1" fillId="4" borderId="74" xfId="0" applyNumberFormat="1" applyFont="1" applyFill="1" applyBorder="1" applyAlignment="1">
      <alignment horizontal="center"/>
    </xf>
    <xf numFmtId="0" fontId="1" fillId="4" borderId="75" xfId="0" applyFont="1" applyFill="1" applyBorder="1" applyAlignment="1">
      <alignment horizontal="center"/>
    </xf>
    <xf numFmtId="49" fontId="34" fillId="3" borderId="76" xfId="0" applyNumberFormat="1" applyFont="1" applyFill="1" applyBorder="1" applyAlignment="1">
      <alignment horizontal="center"/>
    </xf>
    <xf numFmtId="49" fontId="33" fillId="3" borderId="77" xfId="0" applyNumberFormat="1" applyFont="1" applyFill="1" applyBorder="1" applyAlignment="1">
      <alignment horizontal="center"/>
    </xf>
    <xf numFmtId="0" fontId="0" fillId="3" borderId="78" xfId="0" applyFill="1" applyBorder="1" applyAlignment="1">
      <alignment/>
    </xf>
    <xf numFmtId="49" fontId="33" fillId="5" borderId="76" xfId="0" applyNumberFormat="1" applyFont="1" applyFill="1" applyBorder="1" applyAlignment="1">
      <alignment horizontal="center"/>
    </xf>
    <xf numFmtId="49" fontId="32" fillId="5" borderId="77" xfId="0" applyNumberFormat="1" applyFont="1" applyFill="1" applyBorder="1" applyAlignment="1">
      <alignment horizontal="center"/>
    </xf>
    <xf numFmtId="49" fontId="6" fillId="5" borderId="78" xfId="0" applyNumberFormat="1" applyFont="1" applyFill="1" applyBorder="1" applyAlignment="1">
      <alignment horizontal="center"/>
    </xf>
    <xf numFmtId="0" fontId="1" fillId="4" borderId="79" xfId="0" applyFont="1" applyFill="1" applyBorder="1" applyAlignment="1">
      <alignment horizontal="center"/>
    </xf>
    <xf numFmtId="49" fontId="1" fillId="4" borderId="80" xfId="0" applyNumberFormat="1" applyFont="1" applyFill="1" applyBorder="1" applyAlignment="1">
      <alignment horizontal="center"/>
    </xf>
    <xf numFmtId="0" fontId="1" fillId="4" borderId="81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/>
    </xf>
    <xf numFmtId="49" fontId="51" fillId="4" borderId="0" xfId="0" applyNumberFormat="1" applyFont="1" applyFill="1" applyBorder="1" applyAlignment="1">
      <alignment horizontal="center"/>
    </xf>
    <xf numFmtId="0" fontId="51" fillId="4" borderId="82" xfId="0" applyFont="1" applyFill="1" applyBorder="1" applyAlignment="1">
      <alignment horizontal="center"/>
    </xf>
    <xf numFmtId="0" fontId="2" fillId="8" borderId="60" xfId="0" applyFont="1" applyFill="1" applyBorder="1" applyAlignment="1">
      <alignment horizontal="center"/>
    </xf>
    <xf numFmtId="0" fontId="2" fillId="9" borderId="57" xfId="0" applyFont="1" applyFill="1" applyBorder="1" applyAlignment="1">
      <alignment horizontal="center"/>
    </xf>
    <xf numFmtId="0" fontId="34" fillId="9" borderId="83" xfId="0" applyFont="1" applyFill="1" applyBorder="1" applyAlignment="1">
      <alignment/>
    </xf>
    <xf numFmtId="2" fontId="46" fillId="4" borderId="55" xfId="0" applyNumberFormat="1" applyFont="1" applyFill="1" applyBorder="1" applyAlignment="1">
      <alignment horizontal="right"/>
    </xf>
    <xf numFmtId="4" fontId="28" fillId="3" borderId="19" xfId="0" applyNumberFormat="1" applyFont="1" applyFill="1" applyBorder="1" applyAlignment="1">
      <alignment/>
    </xf>
    <xf numFmtId="4" fontId="2" fillId="2" borderId="31" xfId="0" applyNumberFormat="1" applyFont="1" applyFill="1" applyBorder="1" applyAlignment="1">
      <alignment horizontal="center"/>
    </xf>
    <xf numFmtId="4" fontId="0" fillId="0" borderId="84" xfId="0" applyNumberFormat="1" applyBorder="1" applyAlignment="1">
      <alignment/>
    </xf>
    <xf numFmtId="4" fontId="3" fillId="0" borderId="60" xfId="0" applyNumberFormat="1" applyFont="1" applyBorder="1" applyAlignment="1">
      <alignment horizontal="center"/>
    </xf>
    <xf numFmtId="4" fontId="47" fillId="4" borderId="14" xfId="0" applyNumberFormat="1" applyFont="1" applyFill="1" applyBorder="1" applyAlignment="1">
      <alignment horizontal="center"/>
    </xf>
    <xf numFmtId="2" fontId="47" fillId="0" borderId="0" xfId="0" applyNumberFormat="1" applyFont="1" applyAlignment="1">
      <alignment horizontal="center"/>
    </xf>
    <xf numFmtId="4" fontId="2" fillId="6" borderId="19" xfId="0" applyNumberFormat="1" applyFont="1" applyFill="1" applyBorder="1" applyAlignment="1">
      <alignment/>
    </xf>
    <xf numFmtId="4" fontId="3" fillId="6" borderId="2" xfId="0" applyNumberFormat="1" applyFont="1" applyFill="1" applyBorder="1" applyAlignment="1">
      <alignment/>
    </xf>
    <xf numFmtId="4" fontId="3" fillId="0" borderId="85" xfId="0" applyNumberFormat="1" applyFont="1" applyBorder="1" applyAlignment="1">
      <alignment horizontal="center"/>
    </xf>
    <xf numFmtId="4" fontId="0" fillId="0" borderId="86" xfId="0" applyNumberFormat="1" applyBorder="1" applyAlignment="1">
      <alignment/>
    </xf>
    <xf numFmtId="0" fontId="3" fillId="8" borderId="11" xfId="0" applyFont="1" applyFill="1" applyBorder="1" applyAlignment="1">
      <alignment horizontal="center"/>
    </xf>
    <xf numFmtId="0" fontId="41" fillId="4" borderId="0" xfId="0" applyFont="1" applyFill="1" applyAlignment="1">
      <alignment horizontal="center"/>
    </xf>
    <xf numFmtId="0" fontId="53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49" fontId="31" fillId="3" borderId="73" xfId="0" applyNumberFormat="1" applyFont="1" applyFill="1" applyBorder="1" applyAlignment="1">
      <alignment horizontal="center"/>
    </xf>
    <xf numFmtId="49" fontId="32" fillId="3" borderId="73" xfId="0" applyNumberFormat="1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49" fontId="31" fillId="3" borderId="74" xfId="0" applyNumberFormat="1" applyFont="1" applyFill="1" applyBorder="1" applyAlignment="1">
      <alignment horizontal="center"/>
    </xf>
    <xf numFmtId="49" fontId="1" fillId="3" borderId="74" xfId="0" applyNumberFormat="1" applyFont="1" applyFill="1" applyBorder="1" applyAlignment="1">
      <alignment horizontal="center"/>
    </xf>
    <xf numFmtId="0" fontId="34" fillId="3" borderId="75" xfId="0" applyFont="1" applyFill="1" applyBorder="1" applyAlignment="1">
      <alignment horizontal="center"/>
    </xf>
    <xf numFmtId="0" fontId="0" fillId="3" borderId="75" xfId="0" applyFill="1" applyBorder="1" applyAlignment="1">
      <alignment/>
    </xf>
    <xf numFmtId="0" fontId="1" fillId="3" borderId="75" xfId="0" applyFont="1" applyFill="1" applyBorder="1" applyAlignment="1">
      <alignment horizontal="center"/>
    </xf>
    <xf numFmtId="4" fontId="28" fillId="2" borderId="71" xfId="0" applyNumberFormat="1" applyFont="1" applyFill="1" applyBorder="1" applyAlignment="1">
      <alignment/>
    </xf>
    <xf numFmtId="4" fontId="6" fillId="0" borderId="71" xfId="0" applyNumberFormat="1" applyFont="1" applyBorder="1" applyAlignment="1">
      <alignment/>
    </xf>
    <xf numFmtId="4" fontId="6" fillId="4" borderId="71" xfId="0" applyNumberFormat="1" applyFont="1" applyFill="1" applyBorder="1" applyAlignment="1">
      <alignment/>
    </xf>
    <xf numFmtId="0" fontId="33" fillId="5" borderId="2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2" fillId="2" borderId="87" xfId="0" applyFont="1" applyFill="1" applyBorder="1" applyAlignment="1">
      <alignment horizontal="center"/>
    </xf>
    <xf numFmtId="0" fontId="2" fillId="14" borderId="88" xfId="0" applyFont="1" applyFill="1" applyBorder="1" applyAlignment="1">
      <alignment horizontal="center"/>
    </xf>
    <xf numFmtId="0" fontId="2" fillId="14" borderId="89" xfId="0" applyFont="1" applyFill="1" applyBorder="1" applyAlignment="1">
      <alignment horizontal="center"/>
    </xf>
    <xf numFmtId="0" fontId="2" fillId="14" borderId="87" xfId="0" applyFont="1" applyFill="1" applyBorder="1" applyAlignment="1">
      <alignment horizontal="center"/>
    </xf>
    <xf numFmtId="0" fontId="2" fillId="15" borderId="87" xfId="0" applyFont="1" applyFill="1" applyBorder="1" applyAlignment="1">
      <alignment horizontal="center"/>
    </xf>
    <xf numFmtId="0" fontId="2" fillId="15" borderId="90" xfId="0" applyFont="1" applyFill="1" applyBorder="1" applyAlignment="1">
      <alignment horizontal="center"/>
    </xf>
    <xf numFmtId="2" fontId="1" fillId="7" borderId="91" xfId="0" applyNumberFormat="1" applyFont="1" applyFill="1" applyBorder="1" applyAlignment="1">
      <alignment/>
    </xf>
    <xf numFmtId="171" fontId="1" fillId="7" borderId="11" xfId="18" applyFont="1" applyFill="1" applyBorder="1" applyAlignment="1" applyProtection="1">
      <alignment horizontal="center"/>
      <protection/>
    </xf>
    <xf numFmtId="0" fontId="2" fillId="5" borderId="87" xfId="0" applyFont="1" applyFill="1" applyBorder="1" applyAlignment="1">
      <alignment horizontal="center"/>
    </xf>
    <xf numFmtId="0" fontId="2" fillId="16" borderId="88" xfId="0" applyFont="1" applyFill="1" applyBorder="1" applyAlignment="1">
      <alignment horizontal="center"/>
    </xf>
    <xf numFmtId="0" fontId="2" fillId="16" borderId="89" xfId="0" applyFont="1" applyFill="1" applyBorder="1" applyAlignment="1">
      <alignment horizontal="center"/>
    </xf>
    <xf numFmtId="0" fontId="2" fillId="16" borderId="87" xfId="0" applyFont="1" applyFill="1" applyBorder="1" applyAlignment="1">
      <alignment horizontal="center"/>
    </xf>
    <xf numFmtId="0" fontId="2" fillId="17" borderId="87" xfId="0" applyFont="1" applyFill="1" applyBorder="1" applyAlignment="1">
      <alignment horizontal="center"/>
    </xf>
    <xf numFmtId="0" fontId="2" fillId="17" borderId="90" xfId="0" applyFont="1" applyFill="1" applyBorder="1" applyAlignment="1">
      <alignment horizontal="center"/>
    </xf>
    <xf numFmtId="0" fontId="2" fillId="18" borderId="57" xfId="0" applyFont="1" applyFill="1" applyBorder="1" applyAlignment="1">
      <alignment horizontal="center"/>
    </xf>
    <xf numFmtId="0" fontId="34" fillId="18" borderId="57" xfId="0" applyFont="1" applyFill="1" applyBorder="1" applyAlignment="1">
      <alignment/>
    </xf>
    <xf numFmtId="0" fontId="34" fillId="18" borderId="83" xfId="0" applyFont="1" applyFill="1" applyBorder="1" applyAlignment="1">
      <alignment/>
    </xf>
    <xf numFmtId="171" fontId="1" fillId="7" borderId="60" xfId="18" applyFont="1" applyFill="1" applyBorder="1" applyAlignment="1" applyProtection="1">
      <alignment horizontal="center"/>
      <protection/>
    </xf>
    <xf numFmtId="0" fontId="1" fillId="5" borderId="92" xfId="0" applyFont="1" applyFill="1" applyBorder="1" applyAlignment="1">
      <alignment/>
    </xf>
    <xf numFmtId="4" fontId="0" fillId="5" borderId="93" xfId="0" applyNumberFormat="1" applyFill="1" applyBorder="1" applyAlignment="1">
      <alignment/>
    </xf>
    <xf numFmtId="0" fontId="0" fillId="5" borderId="94" xfId="0" applyFill="1" applyBorder="1" applyAlignment="1">
      <alignment/>
    </xf>
    <xf numFmtId="3" fontId="33" fillId="3" borderId="95" xfId="0" applyNumberFormat="1" applyFont="1" applyFill="1" applyBorder="1" applyAlignment="1">
      <alignment horizontal="center"/>
    </xf>
    <xf numFmtId="3" fontId="33" fillId="3" borderId="96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4" fontId="0" fillId="7" borderId="97" xfId="0" applyNumberFormat="1" applyFill="1" applyBorder="1" applyAlignment="1">
      <alignment/>
    </xf>
    <xf numFmtId="4" fontId="0" fillId="7" borderId="98" xfId="0" applyNumberFormat="1" applyFill="1" applyBorder="1" applyAlignment="1">
      <alignment/>
    </xf>
    <xf numFmtId="4" fontId="0" fillId="0" borderId="99" xfId="0" applyNumberFormat="1" applyBorder="1" applyAlignment="1">
      <alignment/>
    </xf>
    <xf numFmtId="4" fontId="3" fillId="0" borderId="71" xfId="0" applyNumberFormat="1" applyFont="1" applyBorder="1" applyAlignment="1">
      <alignment/>
    </xf>
    <xf numFmtId="4" fontId="2" fillId="2" borderId="13" xfId="18" applyNumberFormat="1" applyFont="1" applyFill="1" applyBorder="1" applyAlignment="1">
      <alignment horizontal="center"/>
    </xf>
    <xf numFmtId="2" fontId="46" fillId="4" borderId="38" xfId="0" applyNumberFormat="1" applyFont="1" applyFill="1" applyBorder="1" applyAlignment="1">
      <alignment/>
    </xf>
    <xf numFmtId="4" fontId="6" fillId="2" borderId="19" xfId="0" applyNumberFormat="1" applyFont="1" applyFill="1" applyBorder="1" applyAlignment="1">
      <alignment/>
    </xf>
    <xf numFmtId="4" fontId="3" fillId="7" borderId="100" xfId="18" applyNumberFormat="1" applyFont="1" applyFill="1" applyBorder="1" applyAlignment="1" applyProtection="1">
      <alignment/>
      <protection/>
    </xf>
    <xf numFmtId="4" fontId="3" fillId="7" borderId="36" xfId="18" applyNumberFormat="1" applyFont="1" applyFill="1" applyBorder="1" applyAlignment="1" applyProtection="1">
      <alignment/>
      <protection/>
    </xf>
    <xf numFmtId="2" fontId="49" fillId="16" borderId="33" xfId="0" applyNumberFormat="1" applyFont="1" applyFill="1" applyBorder="1" applyAlignment="1">
      <alignment horizontal="center"/>
    </xf>
    <xf numFmtId="2" fontId="49" fillId="5" borderId="33" xfId="0" applyNumberFormat="1" applyFont="1" applyFill="1" applyBorder="1" applyAlignment="1">
      <alignment/>
    </xf>
    <xf numFmtId="0" fontId="1" fillId="11" borderId="0" xfId="0" applyFont="1" applyFill="1" applyBorder="1" applyAlignment="1">
      <alignment horizontal="center"/>
    </xf>
    <xf numFmtId="0" fontId="0" fillId="0" borderId="101" xfId="0" applyBorder="1" applyAlignment="1">
      <alignment/>
    </xf>
    <xf numFmtId="0" fontId="1" fillId="4" borderId="102" xfId="0" applyFont="1" applyFill="1" applyBorder="1" applyAlignment="1">
      <alignment horizontal="center"/>
    </xf>
    <xf numFmtId="0" fontId="0" fillId="4" borderId="103" xfId="0" applyFill="1" applyBorder="1" applyAlignment="1">
      <alignment/>
    </xf>
    <xf numFmtId="4" fontId="0" fillId="4" borderId="39" xfId="0" applyNumberFormat="1" applyFont="1" applyFill="1" applyBorder="1" applyAlignment="1">
      <alignment/>
    </xf>
    <xf numFmtId="171" fontId="36" fillId="7" borderId="104" xfId="18" applyFont="1" applyFill="1" applyBorder="1" applyAlignment="1" applyProtection="1">
      <alignment horizontal="center"/>
      <protection/>
    </xf>
    <xf numFmtId="2" fontId="48" fillId="5" borderId="2" xfId="0" applyNumberFormat="1" applyFont="1" applyFill="1" applyBorder="1" applyAlignment="1">
      <alignment/>
    </xf>
    <xf numFmtId="0" fontId="41" fillId="4" borderId="0" xfId="0" applyFont="1" applyFill="1" applyAlignment="1">
      <alignment/>
    </xf>
    <xf numFmtId="4" fontId="39" fillId="4" borderId="2" xfId="0" applyNumberFormat="1" applyFont="1" applyFill="1" applyBorder="1" applyAlignment="1">
      <alignment horizontal="center"/>
    </xf>
    <xf numFmtId="2" fontId="45" fillId="4" borderId="2" xfId="0" applyNumberFormat="1" applyFont="1" applyFill="1" applyBorder="1" applyAlignment="1">
      <alignment horizontal="center"/>
    </xf>
    <xf numFmtId="2" fontId="45" fillId="0" borderId="2" xfId="0" applyNumberFormat="1" applyFont="1" applyBorder="1" applyAlignment="1">
      <alignment horizontal="center"/>
    </xf>
    <xf numFmtId="4" fontId="54" fillId="3" borderId="27" xfId="0" applyNumberFormat="1" applyFont="1" applyFill="1" applyBorder="1" applyAlignment="1">
      <alignment horizontal="center"/>
    </xf>
    <xf numFmtId="4" fontId="40" fillId="4" borderId="105" xfId="0" applyNumberFormat="1" applyFont="1" applyFill="1" applyBorder="1" applyAlignment="1">
      <alignment/>
    </xf>
    <xf numFmtId="171" fontId="34" fillId="7" borderId="104" xfId="18" applyFont="1" applyFill="1" applyBorder="1" applyAlignment="1" applyProtection="1">
      <alignment horizontal="center"/>
      <protection/>
    </xf>
    <xf numFmtId="2" fontId="49" fillId="5" borderId="41" xfId="0" applyNumberFormat="1" applyFont="1" applyFill="1" applyBorder="1" applyAlignment="1">
      <alignment/>
    </xf>
    <xf numFmtId="4" fontId="42" fillId="5" borderId="2" xfId="0" applyNumberFormat="1" applyFont="1" applyFill="1" applyBorder="1" applyAlignment="1">
      <alignment/>
    </xf>
    <xf numFmtId="4" fontId="55" fillId="5" borderId="2" xfId="0" applyNumberFormat="1" applyFont="1" applyFill="1" applyBorder="1" applyAlignment="1">
      <alignment horizontal="center"/>
    </xf>
    <xf numFmtId="0" fontId="32" fillId="5" borderId="106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09" fontId="28" fillId="6" borderId="107" xfId="0" applyNumberFormat="1" applyFont="1" applyFill="1" applyBorder="1" applyAlignment="1">
      <alignment horizontal="center"/>
    </xf>
    <xf numFmtId="209" fontId="28" fillId="6" borderId="108" xfId="0" applyNumberFormat="1" applyFont="1" applyFill="1" applyBorder="1" applyAlignment="1">
      <alignment horizontal="center"/>
    </xf>
    <xf numFmtId="49" fontId="38" fillId="2" borderId="109" xfId="0" applyNumberFormat="1" applyFont="1" applyFill="1" applyBorder="1" applyAlignment="1">
      <alignment horizontal="center"/>
    </xf>
    <xf numFmtId="49" fontId="38" fillId="2" borderId="110" xfId="0" applyNumberFormat="1" applyFont="1" applyFill="1" applyBorder="1" applyAlignment="1">
      <alignment horizontal="center"/>
    </xf>
    <xf numFmtId="49" fontId="38" fillId="2" borderId="111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" fillId="7" borderId="112" xfId="0" applyFont="1" applyFill="1" applyBorder="1" applyAlignment="1">
      <alignment horizontal="center"/>
    </xf>
    <xf numFmtId="0" fontId="1" fillId="7" borderId="11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1" fillId="8" borderId="112" xfId="0" applyFont="1" applyFill="1" applyBorder="1" applyAlignment="1">
      <alignment horizontal="center"/>
    </xf>
    <xf numFmtId="0" fontId="1" fillId="8" borderId="113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" fillId="10" borderId="114" xfId="0" applyFont="1" applyFill="1" applyBorder="1" applyAlignment="1">
      <alignment horizontal="center"/>
    </xf>
    <xf numFmtId="0" fontId="32" fillId="2" borderId="115" xfId="0" applyFont="1" applyFill="1" applyBorder="1" applyAlignment="1">
      <alignment horizontal="center"/>
    </xf>
    <xf numFmtId="0" fontId="32" fillId="2" borderId="116" xfId="0" applyFont="1" applyFill="1" applyBorder="1" applyAlignment="1">
      <alignment horizontal="center"/>
    </xf>
    <xf numFmtId="0" fontId="32" fillId="2" borderId="117" xfId="0" applyFont="1" applyFill="1" applyBorder="1" applyAlignment="1">
      <alignment horizontal="center"/>
    </xf>
    <xf numFmtId="0" fontId="32" fillId="5" borderId="118" xfId="0" applyFont="1" applyFill="1" applyBorder="1" applyAlignment="1">
      <alignment horizontal="center"/>
    </xf>
    <xf numFmtId="0" fontId="32" fillId="5" borderId="119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49" fontId="38" fillId="5" borderId="66" xfId="0" applyNumberFormat="1" applyFont="1" applyFill="1" applyBorder="1" applyAlignment="1">
      <alignment horizontal="center"/>
    </xf>
    <xf numFmtId="49" fontId="38" fillId="5" borderId="93" xfId="0" applyNumberFormat="1" applyFont="1" applyFill="1" applyBorder="1" applyAlignment="1">
      <alignment horizontal="center"/>
    </xf>
    <xf numFmtId="49" fontId="38" fillId="5" borderId="122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1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2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1" fillId="10" borderId="0" xfId="0" applyFont="1" applyFill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RECAUDACION  2017
TOTALES POR MES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175"/>
          <c:w val="0.9397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100000">
                  <a:srgbClr val="D5DFFF"/>
                </a:gs>
              </a:gsLst>
              <a:lin ang="0" scaled="1"/>
            </a:gradFill>
            <a:ln w="381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Hoja1!$B$11:$B$22</c:f>
              <c:strCache/>
            </c:strRef>
          </c:cat>
          <c:val>
            <c:numRef>
              <c:f>Hoja1!$L$11:$L$22</c:f>
              <c:numCache/>
            </c:numRef>
          </c:val>
        </c:ser>
        <c:gapWidth val="120"/>
        <c:axId val="13408496"/>
        <c:axId val="39296113"/>
      </c:barChart>
      <c:catAx>
        <c:axId val="1340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296113"/>
        <c:crosses val="autoZero"/>
        <c:auto val="1"/>
        <c:lblOffset val="100"/>
        <c:noMultiLvlLbl val="0"/>
      </c:catAx>
      <c:valAx>
        <c:axId val="39296113"/>
        <c:scaling>
          <c:orientation val="minMax"/>
          <c:max val="5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13408496"/>
        <c:crossesAt val="1"/>
        <c:crossBetween val="between"/>
        <c:dispUnits/>
        <c:majorUnit val="25000000"/>
      </c:valAx>
      <c:spPr>
        <a:gradFill rotWithShape="1">
          <a:gsLst>
            <a:gs pos="0">
              <a:srgbClr val="FFFFCC"/>
            </a:gs>
            <a:gs pos="100000">
              <a:srgbClr val="FFFFDC"/>
            </a:gs>
          </a:gsLst>
          <a:lin ang="5400000" scaled="1"/>
        </a:gradFill>
        <a:ln w="12700">
          <a:solidFill>
            <a:srgbClr val="993366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33CCCC"/>
        </a:gs>
        <a:gs pos="100000">
          <a:srgbClr val="B5ECEC"/>
        </a:gs>
      </a:gsLst>
      <a:lin ang="0" scaled="1"/>
    </a:gradFill>
    <a:ln w="25400">
      <a:solid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INGRESOS BRUTOS LOCAL - CONVENIO MULTILATERAL
COMPARATIVO 2017  -  TENDENCIA</a:t>
            </a:r>
          </a:p>
        </c:rich>
      </c:tx>
      <c:layout>
        <c:manualLayout>
          <c:xMode val="factor"/>
          <c:yMode val="factor"/>
          <c:x val="-0.13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2375"/>
          <c:w val="0.970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Hoja5!$V$22</c:f>
              <c:strCache>
                <c:ptCount val="1"/>
                <c:pt idx="0">
                  <c:v>I.B. LOCAL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1416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Hoja5!$U$23:$U$34</c:f>
              <c:strCache/>
            </c:strRef>
          </c:cat>
          <c:val>
            <c:numRef>
              <c:f>Hoja5!$V$23:$V$34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Hoja5!$X$22</c:f>
              <c:strCache>
                <c:ptCount val="1"/>
                <c:pt idx="0">
                  <c:v>CONVENIO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CC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Hoja5!$U$23:$U$34</c:f>
              <c:strCache/>
            </c:strRef>
          </c:cat>
          <c:val>
            <c:numRef>
              <c:f>Hoja5!$X$23:$X$34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30"/>
        <c:axId val="50321088"/>
        <c:axId val="49560769"/>
      </c:barChart>
      <c:catAx>
        <c:axId val="50321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9560769"/>
        <c:crosses val="autoZero"/>
        <c:auto val="1"/>
        <c:lblOffset val="100"/>
        <c:noMultiLvlLbl val="0"/>
      </c:catAx>
      <c:valAx>
        <c:axId val="49560769"/>
        <c:scaling>
          <c:orientation val="minMax"/>
          <c:max val="208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PESOS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0321088"/>
        <c:crossesAt val="1"/>
        <c:crossBetween val="between"/>
        <c:dispUnits/>
        <c:majorUnit val="13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"/>
          <c:y val="0.01125"/>
          <c:w val="0.42325"/>
          <c:h val="0.117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B6B66D"/>
        </a:gs>
      </a:gsLst>
      <a:lin ang="0" scaled="1"/>
    </a:gradFill>
    <a:ln w="254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TENDENCIA RECAUDACION 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2"/>
          <c:w val="0.94125"/>
          <c:h val="0.89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8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Hoja1!$B$64:$B$75</c:f>
              <c:strCache/>
            </c:strRef>
          </c:cat>
          <c:val>
            <c:numRef>
              <c:f>Hoja1!$C$64:$C$75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043962"/>
        <c:axId val="29330571"/>
      </c:lineChart>
      <c:catAx>
        <c:axId val="50043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330571"/>
        <c:crossesAt val="0"/>
        <c:auto val="1"/>
        <c:lblOffset val="100"/>
        <c:noMultiLvlLbl val="0"/>
      </c:catAx>
      <c:valAx>
        <c:axId val="29330571"/>
        <c:scaling>
          <c:orientation val="minMax"/>
          <c:max val="6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0043962"/>
        <c:crossesAt val="1"/>
        <c:crossBetween val="between"/>
        <c:dispUnits/>
        <c:majorUnit val="3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BAF1FF"/>
        </a:gs>
      </a:gsLst>
      <a:lin ang="0" scaled="1"/>
    </a:gradFill>
    <a:ln w="25400">
      <a:solid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VARIACION MENSUAL 2017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4775"/>
          <c:w val="0.9615"/>
          <c:h val="0.94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  <a:prstDash val="dashDot"/>
              </a:ln>
            </c:spPr>
            <c:trendlineType val="linear"/>
            <c:dispEq val="0"/>
            <c:dispRSqr val="0"/>
          </c:trendline>
          <c:cat>
            <c:strRef>
              <c:f>Hoja1!$B$64:$B$75</c:f>
              <c:strCache/>
            </c:strRef>
          </c:cat>
          <c:val>
            <c:numRef>
              <c:f>Hoja1!$E$64:$E$75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756900"/>
        <c:axId val="6068677"/>
      </c:lineChart>
      <c:catAx>
        <c:axId val="60756900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6068677"/>
        <c:crosses val="autoZero"/>
        <c:auto val="1"/>
        <c:lblOffset val="100"/>
        <c:noMultiLvlLbl val="0"/>
      </c:catAx>
      <c:valAx>
        <c:axId val="6068677"/>
        <c:scaling>
          <c:orientation val="minMax"/>
          <c:max val="42"/>
          <c:min val="-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60756900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DCDA4"/>
        </a:gs>
      </a:gsLst>
      <a:lin ang="5400000" scaled="1"/>
    </a:gra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VARIACION INTERANUAL - 2016-2017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7325"/>
          <c:w val="0.9485"/>
          <c:h val="0.87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Hoja1!$B$64:$B$75</c:f>
              <c:strCache/>
            </c:strRef>
          </c:cat>
          <c:val>
            <c:numRef>
              <c:f>Hoja1!$F$64:$F$75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360238"/>
        <c:axId val="60616223"/>
      </c:lineChart>
      <c:catAx>
        <c:axId val="4036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60616223"/>
        <c:crosses val="autoZero"/>
        <c:auto val="1"/>
        <c:lblOffset val="100"/>
        <c:noMultiLvlLbl val="0"/>
      </c:catAx>
      <c:valAx>
        <c:axId val="60616223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40360238"/>
        <c:crossesAt val="1"/>
        <c:crossBetween val="between"/>
        <c:dispUnits/>
        <c:majorUnit val="5"/>
        <c:min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D3A87E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COMPARATIVO AÑOS ANTERIORES
MES DE DICIEMBRE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8"/>
          <c:w val="0.981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Hoja3!$D$14:$D$37</c:f>
              <c:numCache/>
            </c:numRef>
          </c:cat>
          <c:val>
            <c:numRef>
              <c:f>Hoja3!$D$14:$D$37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00CCFF"/>
                </a:gs>
                <a:gs pos="100000">
                  <a:srgbClr val="005E75"/>
                </a:gs>
              </a:gsLst>
              <a:lin ang="0" scaled="1"/>
            </a:gra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Hoja3!$D$14:$D$37</c:f>
              <c:numCache/>
            </c:numRef>
          </c:cat>
          <c:val>
            <c:numRef>
              <c:f>Hoja3!$E$14:$E$37</c:f>
              <c:numCache/>
            </c:numRef>
          </c:val>
        </c:ser>
        <c:gapWidth val="10"/>
        <c:axId val="62908120"/>
        <c:axId val="28890009"/>
      </c:barChart>
      <c:catAx>
        <c:axId val="62908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28890009"/>
        <c:crosses val="autoZero"/>
        <c:auto val="1"/>
        <c:lblOffset val="100"/>
        <c:noMultiLvlLbl val="0"/>
      </c:catAx>
      <c:valAx>
        <c:axId val="28890009"/>
        <c:scaling>
          <c:orientation val="minMax"/>
          <c:max val="42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62908120"/>
        <c:crossesAt val="1"/>
        <c:crossBetween val="between"/>
        <c:dispUnits/>
        <c:majorUnit val="3000000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ADD9AD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TENDENCIA RECAUDACION  1994  -  2017
MES DE DICIEMBRE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6"/>
          <c:w val="0.9745"/>
          <c:h val="0.88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Hoja3!$D$14:$D$37</c:f>
              <c:numCache/>
            </c:numRef>
          </c:cat>
          <c:val>
            <c:numRef>
              <c:f>Hoja3!$D$14:$D$37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Hoja3!$D$14:$D$37</c:f>
              <c:numCache/>
            </c:numRef>
          </c:cat>
          <c:val>
            <c:numRef>
              <c:f>Hoja3!$E$14:$E$37</c:f>
              <c:numCache/>
            </c:numRef>
          </c:val>
          <c:smooth val="0"/>
        </c:ser>
        <c:marker val="1"/>
        <c:axId val="28595874"/>
        <c:axId val="7124019"/>
      </c:lineChart>
      <c:catAx>
        <c:axId val="2859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7124019"/>
        <c:crosses val="autoZero"/>
        <c:auto val="1"/>
        <c:lblOffset val="100"/>
        <c:noMultiLvlLbl val="0"/>
      </c:catAx>
      <c:valAx>
        <c:axId val="7124019"/>
        <c:scaling>
          <c:orientation val="minMax"/>
          <c:max val="4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28595874"/>
        <c:crossesAt val="1"/>
        <c:crossBetween val="between"/>
        <c:dispUnits/>
        <c:majorUnit val="3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A9EDFF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COMPARATIVO AÑOS ANTERIORES
ACUMULADO HASTA DICIEMBRE</a:t>
            </a:r>
          </a:p>
        </c:rich>
      </c:tx>
      <c:layout>
        <c:manualLayout>
          <c:xMode val="factor"/>
          <c:yMode val="factor"/>
          <c:x val="-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35"/>
          <c:w val="0.976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Hoja4!$C$13:$C$36</c:f>
              <c:numCache/>
            </c:numRef>
          </c:cat>
          <c:val>
            <c:numRef>
              <c:f>Hoja4!$C$13:$C$36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9CCFF"/>
                </a:gs>
                <a:gs pos="100000">
                  <a:srgbClr val="354759"/>
                </a:gs>
              </a:gsLst>
              <a:lin ang="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Hoja4!$C$13:$C$36</c:f>
              <c:numCache/>
            </c:numRef>
          </c:cat>
          <c:val>
            <c:numRef>
              <c:f>Hoja4!$D$13:$D$36</c:f>
              <c:numCache/>
            </c:numRef>
          </c:val>
        </c:ser>
        <c:gapWidth val="0"/>
        <c:axId val="50291340"/>
        <c:axId val="47389165"/>
      </c:barChart>
      <c:catAx>
        <c:axId val="5029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47389165"/>
        <c:crosses val="autoZero"/>
        <c:auto val="1"/>
        <c:lblOffset val="100"/>
        <c:noMultiLvlLbl val="0"/>
      </c:catAx>
      <c:valAx>
        <c:axId val="47389165"/>
        <c:scaling>
          <c:orientation val="minMax"/>
          <c:max val="49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INPORTE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0291340"/>
        <c:crossesAt val="1"/>
        <c:crossBetween val="between"/>
        <c:dispUnits/>
        <c:majorUnit val="35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A0C8A0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TENDENCIA RECAUDACION ACUMULADA
HASTA   DICIEMBRE   1994  -  2017</a:t>
            </a:r>
          </a:p>
        </c:rich>
      </c:tx>
      <c:layout>
        <c:manualLayout>
          <c:xMode val="factor"/>
          <c:yMode val="factor"/>
          <c:x val="-0.011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75"/>
          <c:w val="0.97325"/>
          <c:h val="0.86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Hoja4!$C$13:$C$36</c:f>
              <c:numCache/>
            </c:numRef>
          </c:cat>
          <c:val>
            <c:numRef>
              <c:f>Hoja4!$C$13:$C$36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Hoja4!$C$13:$C$36</c:f>
              <c:numCache/>
            </c:numRef>
          </c:cat>
          <c:val>
            <c:numRef>
              <c:f>Hoja4!$D$13:$D$36</c:f>
              <c:numCache/>
            </c:numRef>
          </c:val>
          <c:smooth val="0"/>
        </c:ser>
        <c:marker val="1"/>
        <c:axId val="36856982"/>
        <c:axId val="6205127"/>
      </c:lineChart>
      <c:catAx>
        <c:axId val="36856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  <c:crossAx val="6205127"/>
        <c:crosses val="autoZero"/>
        <c:auto val="1"/>
        <c:lblOffset val="100"/>
        <c:noMultiLvlLbl val="0"/>
      </c:catAx>
      <c:valAx>
        <c:axId val="6205127"/>
        <c:scaling>
          <c:orientation val="minMax"/>
          <c:max val="49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36856982"/>
        <c:crossesAt val="1"/>
        <c:crossBetween val="between"/>
        <c:dispUnits/>
        <c:majorUnit val="35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33CCCC"/>
        </a:gs>
        <a:gs pos="100000">
          <a:srgbClr val="B1EBEB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RECAUDACION TOTAL 2017
IMPUESTOS - PORCENTAJES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75"/>
          <c:y val="0.3135"/>
          <c:w val="0.7005"/>
          <c:h val="0.567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Hoja5!$J$73:$J$82</c:f>
              <c:strCache/>
            </c:strRef>
          </c:cat>
          <c:val>
            <c:numRef>
              <c:f>Hoja5!$K$73:$K$82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  <a:ln w="25400">
      <a:solidFill>
        <a:srgbClr val="0000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38</xdr:row>
      <xdr:rowOff>85725</xdr:rowOff>
    </xdr:from>
    <xdr:to>
      <xdr:col>9</xdr:col>
      <xdr:colOff>847725</xdr:colOff>
      <xdr:row>59</xdr:row>
      <xdr:rowOff>85725</xdr:rowOff>
    </xdr:to>
    <xdr:graphicFrame>
      <xdr:nvGraphicFramePr>
        <xdr:cNvPr id="1" name="Chart 2"/>
        <xdr:cNvGraphicFramePr/>
      </xdr:nvGraphicFramePr>
      <xdr:xfrm>
        <a:off x="171450" y="6591300"/>
        <a:ext cx="7543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95</xdr:row>
      <xdr:rowOff>0</xdr:rowOff>
    </xdr:from>
    <xdr:to>
      <xdr:col>10</xdr:col>
      <xdr:colOff>819150</xdr:colOff>
      <xdr:row>117</xdr:row>
      <xdr:rowOff>9525</xdr:rowOff>
    </xdr:to>
    <xdr:graphicFrame>
      <xdr:nvGraphicFramePr>
        <xdr:cNvPr id="2" name="Chart 5"/>
        <xdr:cNvGraphicFramePr/>
      </xdr:nvGraphicFramePr>
      <xdr:xfrm>
        <a:off x="314325" y="15982950"/>
        <a:ext cx="8296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152400</xdr:colOff>
      <xdr:row>60</xdr:row>
      <xdr:rowOff>152400</xdr:rowOff>
    </xdr:from>
    <xdr:to>
      <xdr:col>12</xdr:col>
      <xdr:colOff>400050</xdr:colOff>
      <xdr:row>76</xdr:row>
      <xdr:rowOff>57150</xdr:rowOff>
    </xdr:to>
    <xdr:graphicFrame>
      <xdr:nvGraphicFramePr>
        <xdr:cNvPr id="3" name="Chart 6"/>
        <xdr:cNvGraphicFramePr/>
      </xdr:nvGraphicFramePr>
      <xdr:xfrm>
        <a:off x="4562475" y="10220325"/>
        <a:ext cx="54959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1</xdr:row>
      <xdr:rowOff>104775</xdr:rowOff>
    </xdr:from>
    <xdr:to>
      <xdr:col>3</xdr:col>
      <xdr:colOff>638175</xdr:colOff>
      <xdr:row>4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66700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</xdr:row>
      <xdr:rowOff>47625</xdr:rowOff>
    </xdr:from>
    <xdr:to>
      <xdr:col>3</xdr:col>
      <xdr:colOff>333375</xdr:colOff>
      <xdr:row>36</xdr:row>
      <xdr:rowOff>19050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5743575"/>
          <a:ext cx="1962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78</xdr:row>
      <xdr:rowOff>9525</xdr:rowOff>
    </xdr:from>
    <xdr:to>
      <xdr:col>7</xdr:col>
      <xdr:colOff>514350</xdr:colOff>
      <xdr:row>94</xdr:row>
      <xdr:rowOff>19050</xdr:rowOff>
    </xdr:to>
    <xdr:graphicFrame>
      <xdr:nvGraphicFramePr>
        <xdr:cNvPr id="6" name="Chart 9"/>
        <xdr:cNvGraphicFramePr/>
      </xdr:nvGraphicFramePr>
      <xdr:xfrm>
        <a:off x="304800" y="13239750"/>
        <a:ext cx="555307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1</xdr:col>
      <xdr:colOff>95250</xdr:colOff>
      <xdr:row>8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6300"/>
          <a:ext cx="2133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38</xdr:row>
      <xdr:rowOff>85725</xdr:rowOff>
    </xdr:from>
    <xdr:to>
      <xdr:col>11</xdr:col>
      <xdr:colOff>171450</xdr:colOff>
      <xdr:row>53</xdr:row>
      <xdr:rowOff>133350</xdr:rowOff>
    </xdr:to>
    <xdr:graphicFrame>
      <xdr:nvGraphicFramePr>
        <xdr:cNvPr id="1" name="Chart 8"/>
        <xdr:cNvGraphicFramePr/>
      </xdr:nvGraphicFramePr>
      <xdr:xfrm>
        <a:off x="1181100" y="6486525"/>
        <a:ext cx="7296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54</xdr:row>
      <xdr:rowOff>123825</xdr:rowOff>
    </xdr:from>
    <xdr:to>
      <xdr:col>11</xdr:col>
      <xdr:colOff>533400</xdr:colOff>
      <xdr:row>74</xdr:row>
      <xdr:rowOff>66675</xdr:rowOff>
    </xdr:to>
    <xdr:graphicFrame>
      <xdr:nvGraphicFramePr>
        <xdr:cNvPr id="2" name="Chart 9"/>
        <xdr:cNvGraphicFramePr/>
      </xdr:nvGraphicFramePr>
      <xdr:xfrm>
        <a:off x="771525" y="9115425"/>
        <a:ext cx="80676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2</xdr:row>
      <xdr:rowOff>0</xdr:rowOff>
    </xdr:from>
    <xdr:to>
      <xdr:col>3</xdr:col>
      <xdr:colOff>685800</xdr:colOff>
      <xdr:row>5</xdr:row>
      <xdr:rowOff>76200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333375"/>
          <a:ext cx="2057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38</xdr:row>
      <xdr:rowOff>57150</xdr:rowOff>
    </xdr:from>
    <xdr:to>
      <xdr:col>10</xdr:col>
      <xdr:colOff>400050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1104900" y="6457950"/>
        <a:ext cx="7486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55</xdr:row>
      <xdr:rowOff>0</xdr:rowOff>
    </xdr:from>
    <xdr:to>
      <xdr:col>10</xdr:col>
      <xdr:colOff>685800</xdr:colOff>
      <xdr:row>74</xdr:row>
      <xdr:rowOff>114300</xdr:rowOff>
    </xdr:to>
    <xdr:graphicFrame>
      <xdr:nvGraphicFramePr>
        <xdr:cNvPr id="2" name="Chart 5"/>
        <xdr:cNvGraphicFramePr/>
      </xdr:nvGraphicFramePr>
      <xdr:xfrm>
        <a:off x="771525" y="9163050"/>
        <a:ext cx="8105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</xdr:row>
      <xdr:rowOff>0</xdr:rowOff>
    </xdr:from>
    <xdr:to>
      <xdr:col>3</xdr:col>
      <xdr:colOff>657225</xdr:colOff>
      <xdr:row>5</xdr:row>
      <xdr:rowOff>76200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61950"/>
          <a:ext cx="2152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47625</xdr:rowOff>
    </xdr:from>
    <xdr:to>
      <xdr:col>3</xdr:col>
      <xdr:colOff>523875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71475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3</xdr:row>
      <xdr:rowOff>28575</xdr:rowOff>
    </xdr:from>
    <xdr:to>
      <xdr:col>16</xdr:col>
      <xdr:colOff>276225</xdr:colOff>
      <xdr:row>6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514350"/>
          <a:ext cx="2152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838200</xdr:colOff>
      <xdr:row>71</xdr:row>
      <xdr:rowOff>19050</xdr:rowOff>
    </xdr:from>
    <xdr:to>
      <xdr:col>23</xdr:col>
      <xdr:colOff>228600</xdr:colOff>
      <xdr:row>92</xdr:row>
      <xdr:rowOff>85725</xdr:rowOff>
    </xdr:to>
    <xdr:graphicFrame>
      <xdr:nvGraphicFramePr>
        <xdr:cNvPr id="3" name="Chart 6"/>
        <xdr:cNvGraphicFramePr/>
      </xdr:nvGraphicFramePr>
      <xdr:xfrm>
        <a:off x="11125200" y="12792075"/>
        <a:ext cx="75628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781050</xdr:colOff>
      <xdr:row>41</xdr:row>
      <xdr:rowOff>38100</xdr:rowOff>
    </xdr:from>
    <xdr:to>
      <xdr:col>29</xdr:col>
      <xdr:colOff>257175</xdr:colOff>
      <xdr:row>60</xdr:row>
      <xdr:rowOff>95250</xdr:rowOff>
    </xdr:to>
    <xdr:graphicFrame>
      <xdr:nvGraphicFramePr>
        <xdr:cNvPr id="4" name="Chart 7"/>
        <xdr:cNvGraphicFramePr/>
      </xdr:nvGraphicFramePr>
      <xdr:xfrm>
        <a:off x="13696950" y="7496175"/>
        <a:ext cx="86582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47625</xdr:rowOff>
    </xdr:from>
    <xdr:to>
      <xdr:col>1</xdr:col>
      <xdr:colOff>2609850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71475"/>
          <a:ext cx="2543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82"/>
  <sheetViews>
    <sheetView tabSelected="1" workbookViewId="0" topLeftCell="A16">
      <selection activeCell="F30" sqref="F30:G30"/>
    </sheetView>
  </sheetViews>
  <sheetFormatPr defaultColWidth="11.421875" defaultRowHeight="12.75"/>
  <cols>
    <col min="1" max="1" width="4.28125" style="0" customWidth="1"/>
    <col min="2" max="2" width="9.00390625" style="0" customWidth="1"/>
    <col min="3" max="3" width="14.28125" style="0" customWidth="1"/>
    <col min="4" max="6" width="12.8515625" style="0" customWidth="1"/>
    <col min="7" max="7" width="14.00390625" style="0" customWidth="1"/>
    <col min="8" max="8" width="12.57421875" style="0" customWidth="1"/>
    <col min="9" max="9" width="10.28125" style="0" customWidth="1"/>
    <col min="10" max="10" width="13.8515625" style="0" customWidth="1"/>
    <col min="11" max="11" width="14.7109375" style="0" customWidth="1"/>
    <col min="12" max="12" width="13.28125" style="0" customWidth="1"/>
  </cols>
  <sheetData>
    <row r="3" spans="5:11" ht="12.75">
      <c r="E3" s="1"/>
      <c r="F3" s="1"/>
      <c r="G3" s="1"/>
      <c r="H3" s="1"/>
      <c r="I3" s="1"/>
      <c r="J3" s="1"/>
      <c r="K3" s="1"/>
    </row>
    <row r="4" spans="5:11" ht="12.75">
      <c r="E4" s="1"/>
      <c r="F4" s="1"/>
      <c r="G4" s="1"/>
      <c r="H4" s="1"/>
      <c r="I4" s="1"/>
      <c r="J4" s="1"/>
      <c r="K4" s="1"/>
    </row>
    <row r="5" spans="5:11" ht="12.75">
      <c r="E5" s="1"/>
      <c r="F5" s="1"/>
      <c r="G5" s="1"/>
      <c r="H5" s="1"/>
      <c r="I5" s="1"/>
      <c r="J5" s="1"/>
      <c r="K5" s="1"/>
    </row>
    <row r="6" spans="3:11" ht="12.75">
      <c r="C6" s="1"/>
      <c r="D6" s="1"/>
      <c r="E6" s="1"/>
      <c r="F6" s="1"/>
      <c r="G6" s="1"/>
      <c r="H6" s="1"/>
      <c r="I6" s="1"/>
      <c r="J6" s="1"/>
      <c r="K6" s="1"/>
    </row>
    <row r="7" spans="3:11" ht="13.5" thickBot="1">
      <c r="C7" s="1"/>
      <c r="D7" s="1"/>
      <c r="E7" s="1"/>
      <c r="F7" s="1"/>
      <c r="G7" s="1"/>
      <c r="H7" s="1"/>
      <c r="I7" s="1"/>
      <c r="J7" s="1"/>
      <c r="K7" s="1"/>
    </row>
    <row r="8" spans="2:11" ht="21.75" thickBot="1" thickTop="1">
      <c r="B8" s="2" t="s">
        <v>0</v>
      </c>
      <c r="C8" s="1"/>
      <c r="D8" s="1"/>
      <c r="E8" s="396" t="s">
        <v>98</v>
      </c>
      <c r="F8" s="397"/>
      <c r="G8" s="397"/>
      <c r="H8" s="397"/>
      <c r="I8" s="398"/>
      <c r="J8" s="1"/>
      <c r="K8" s="1"/>
    </row>
    <row r="9" spans="3:11" ht="14.25" thickBot="1" thickTop="1">
      <c r="C9" s="1"/>
      <c r="D9" s="1"/>
      <c r="E9" s="1"/>
      <c r="F9" s="1"/>
      <c r="G9" s="1"/>
      <c r="H9" s="1"/>
      <c r="I9" s="1"/>
      <c r="J9" s="1"/>
      <c r="K9" s="1"/>
    </row>
    <row r="10" spans="2:12" ht="15" thickBot="1" thickTop="1">
      <c r="B10" s="131" t="s">
        <v>1</v>
      </c>
      <c r="C10" s="198" t="s">
        <v>34</v>
      </c>
      <c r="D10" s="198" t="s">
        <v>3</v>
      </c>
      <c r="E10" s="198" t="s">
        <v>4</v>
      </c>
      <c r="F10" s="198" t="s">
        <v>5</v>
      </c>
      <c r="G10" s="199" t="s">
        <v>54</v>
      </c>
      <c r="H10" s="198" t="s">
        <v>56</v>
      </c>
      <c r="I10" s="198" t="s">
        <v>48</v>
      </c>
      <c r="J10" s="200" t="s">
        <v>57</v>
      </c>
      <c r="K10" s="198" t="s">
        <v>6</v>
      </c>
      <c r="L10" s="201" t="s">
        <v>7</v>
      </c>
    </row>
    <row r="11" spans="2:12" ht="12.75">
      <c r="B11" s="214" t="s">
        <v>8</v>
      </c>
      <c r="C11" s="85">
        <v>224105396.47</v>
      </c>
      <c r="D11" s="31">
        <v>11801792.16</v>
      </c>
      <c r="E11" s="31">
        <v>14956508.03</v>
      </c>
      <c r="F11" s="31">
        <v>30061741.32</v>
      </c>
      <c r="G11" s="31">
        <v>5863320.48</v>
      </c>
      <c r="H11" s="31">
        <v>0</v>
      </c>
      <c r="I11" s="86">
        <v>106378.69</v>
      </c>
      <c r="J11" s="133">
        <f>SUM(C11:I11)</f>
        <v>286895137.15000004</v>
      </c>
      <c r="K11" s="136">
        <v>39163136.75</v>
      </c>
      <c r="L11" s="138">
        <f aca="true" t="shared" si="0" ref="L11:L22">+J11+K11</f>
        <v>326058273.90000004</v>
      </c>
    </row>
    <row r="12" spans="2:12" ht="12.75">
      <c r="B12" s="215" t="s">
        <v>9</v>
      </c>
      <c r="C12" s="85">
        <v>197606168.6</v>
      </c>
      <c r="D12" s="31">
        <v>48893322.66</v>
      </c>
      <c r="E12" s="31">
        <v>13081447.71</v>
      </c>
      <c r="F12" s="31">
        <v>26767462.06</v>
      </c>
      <c r="G12" s="31">
        <v>5179232.7</v>
      </c>
      <c r="H12" s="31">
        <v>0</v>
      </c>
      <c r="I12" s="86">
        <v>39435.2</v>
      </c>
      <c r="J12" s="134">
        <f>SUM(C12:I12)</f>
        <v>291567068.92999995</v>
      </c>
      <c r="K12" s="136">
        <v>35181336</v>
      </c>
      <c r="L12" s="139">
        <f t="shared" si="0"/>
        <v>326748404.92999995</v>
      </c>
    </row>
    <row r="13" spans="2:12" ht="12.75">
      <c r="B13" s="215" t="s">
        <v>10</v>
      </c>
      <c r="C13" s="85">
        <v>200249616.73</v>
      </c>
      <c r="D13" s="31">
        <v>54780583.69</v>
      </c>
      <c r="E13" s="31">
        <v>66208115.78</v>
      </c>
      <c r="F13" s="31">
        <v>32452687.03</v>
      </c>
      <c r="G13" s="31">
        <v>6182665.79</v>
      </c>
      <c r="H13" s="31">
        <v>0</v>
      </c>
      <c r="I13" s="86">
        <v>15273.2</v>
      </c>
      <c r="J13" s="134">
        <f aca="true" t="shared" si="1" ref="J13:J22">SUM(C13:I13)</f>
        <v>359888942.22</v>
      </c>
      <c r="K13" s="136">
        <v>42835922.2</v>
      </c>
      <c r="L13" s="139">
        <f t="shared" si="0"/>
        <v>402724864.42</v>
      </c>
    </row>
    <row r="14" spans="2:12" ht="12.75">
      <c r="B14" s="215" t="s">
        <v>11</v>
      </c>
      <c r="C14" s="85">
        <v>229903091.18</v>
      </c>
      <c r="D14" s="31">
        <v>19332383.66</v>
      </c>
      <c r="E14" s="31">
        <v>95769125.46</v>
      </c>
      <c r="F14" s="31">
        <v>30130796.07</v>
      </c>
      <c r="G14" s="31">
        <v>5856316.13</v>
      </c>
      <c r="H14" s="31">
        <v>0</v>
      </c>
      <c r="I14" s="86">
        <v>203439.45</v>
      </c>
      <c r="J14" s="134">
        <f t="shared" si="1"/>
        <v>381195151.95</v>
      </c>
      <c r="K14" s="136">
        <v>49901043.21</v>
      </c>
      <c r="L14" s="139">
        <f t="shared" si="0"/>
        <v>431096195.15999997</v>
      </c>
    </row>
    <row r="15" spans="2:12" ht="12.75">
      <c r="B15" s="215" t="s">
        <v>12</v>
      </c>
      <c r="C15" s="85">
        <v>228203116.35</v>
      </c>
      <c r="D15" s="31">
        <v>11997431.81</v>
      </c>
      <c r="E15" s="31">
        <v>24852142.7</v>
      </c>
      <c r="F15" s="31">
        <v>26620045.65</v>
      </c>
      <c r="G15" s="31">
        <v>5199035.71</v>
      </c>
      <c r="H15" s="31">
        <v>0</v>
      </c>
      <c r="I15" s="86">
        <v>70245.32</v>
      </c>
      <c r="J15" s="134">
        <f t="shared" si="1"/>
        <v>296942017.53999996</v>
      </c>
      <c r="K15" s="136">
        <v>40093180.42</v>
      </c>
      <c r="L15" s="139">
        <f t="shared" si="0"/>
        <v>337035197.96</v>
      </c>
    </row>
    <row r="16" spans="2:12" ht="12.75">
      <c r="B16" s="215" t="s">
        <v>13</v>
      </c>
      <c r="C16" s="85">
        <v>227709641.59</v>
      </c>
      <c r="D16" s="31">
        <v>15436304.48</v>
      </c>
      <c r="E16" s="31">
        <v>25932926.68</v>
      </c>
      <c r="F16" s="31">
        <v>29912593.7</v>
      </c>
      <c r="G16" s="31">
        <v>5721282</v>
      </c>
      <c r="H16" s="31">
        <v>0</v>
      </c>
      <c r="I16" s="86">
        <v>599944.19</v>
      </c>
      <c r="J16" s="134">
        <f t="shared" si="1"/>
        <v>305312692.64</v>
      </c>
      <c r="K16" s="136">
        <v>41727449.25</v>
      </c>
      <c r="L16" s="139">
        <f t="shared" si="0"/>
        <v>347040141.89</v>
      </c>
    </row>
    <row r="17" spans="2:12" ht="12.75">
      <c r="B17" s="215" t="s">
        <v>14</v>
      </c>
      <c r="C17" s="85">
        <v>238932469.13</v>
      </c>
      <c r="D17" s="31">
        <v>16957615.42</v>
      </c>
      <c r="E17" s="31">
        <v>28346249.88</v>
      </c>
      <c r="F17" s="31">
        <v>33837296.93</v>
      </c>
      <c r="G17" s="31">
        <v>6640396.54</v>
      </c>
      <c r="H17" s="31">
        <v>0</v>
      </c>
      <c r="I17" s="86">
        <v>70018.68</v>
      </c>
      <c r="J17" s="134">
        <f t="shared" si="1"/>
        <v>324784046.58000004</v>
      </c>
      <c r="K17" s="136">
        <v>43148319.37</v>
      </c>
      <c r="L17" s="139">
        <f t="shared" si="0"/>
        <v>367932365.95000005</v>
      </c>
    </row>
    <row r="18" spans="2:12" ht="12.75">
      <c r="B18" s="215" t="s">
        <v>15</v>
      </c>
      <c r="C18" s="85">
        <v>244343637.21</v>
      </c>
      <c r="D18" s="31">
        <v>14293265.59</v>
      </c>
      <c r="E18" s="31">
        <v>35030355.09</v>
      </c>
      <c r="F18" s="31">
        <v>32595441.76</v>
      </c>
      <c r="G18" s="31">
        <v>6314334.38</v>
      </c>
      <c r="H18" s="31">
        <v>0</v>
      </c>
      <c r="I18" s="86">
        <v>72953.24</v>
      </c>
      <c r="J18" s="134">
        <f t="shared" si="1"/>
        <v>332649987.27</v>
      </c>
      <c r="K18" s="136">
        <v>44718849.59</v>
      </c>
      <c r="L18" s="139">
        <f t="shared" si="0"/>
        <v>377368836.86</v>
      </c>
    </row>
    <row r="19" spans="2:12" ht="12.75">
      <c r="B19" s="215" t="s">
        <v>44</v>
      </c>
      <c r="C19" s="85">
        <v>260731148.62</v>
      </c>
      <c r="D19" s="31">
        <v>13230919.17</v>
      </c>
      <c r="E19" s="31">
        <v>35822760.48</v>
      </c>
      <c r="F19" s="31">
        <v>33894580.93</v>
      </c>
      <c r="G19" s="31">
        <v>6614011.71</v>
      </c>
      <c r="H19" s="31">
        <v>0</v>
      </c>
      <c r="I19" s="86">
        <v>58155.85</v>
      </c>
      <c r="J19" s="134">
        <f t="shared" si="1"/>
        <v>350351576.76000005</v>
      </c>
      <c r="K19" s="136">
        <v>46921488.12</v>
      </c>
      <c r="L19" s="139">
        <f t="shared" si="0"/>
        <v>397273064.88000005</v>
      </c>
    </row>
    <row r="20" spans="2:12" ht="12.75">
      <c r="B20" s="215" t="s">
        <v>17</v>
      </c>
      <c r="C20" s="85">
        <v>263966084.06</v>
      </c>
      <c r="D20" s="31">
        <v>19194041.5</v>
      </c>
      <c r="E20" s="31">
        <v>36653735.84</v>
      </c>
      <c r="F20" s="31">
        <v>32604562.06</v>
      </c>
      <c r="G20" s="31">
        <v>6353627.25</v>
      </c>
      <c r="H20" s="31">
        <v>0</v>
      </c>
      <c r="I20" s="86">
        <v>315260.08</v>
      </c>
      <c r="J20" s="134">
        <f t="shared" si="1"/>
        <v>359087310.78999996</v>
      </c>
      <c r="K20" s="136">
        <v>47712109.86</v>
      </c>
      <c r="L20" s="139">
        <f t="shared" si="0"/>
        <v>406799420.65</v>
      </c>
    </row>
    <row r="21" spans="2:12" ht="12.75">
      <c r="B21" s="215" t="s">
        <v>18</v>
      </c>
      <c r="C21" s="85">
        <v>268084989.14</v>
      </c>
      <c r="D21" s="31">
        <v>15265240.12</v>
      </c>
      <c r="E21" s="31">
        <v>30963029.24</v>
      </c>
      <c r="F21" s="31">
        <v>36711721.01</v>
      </c>
      <c r="G21" s="31">
        <v>7045632.9</v>
      </c>
      <c r="H21" s="31">
        <v>0</v>
      </c>
      <c r="I21" s="86">
        <v>192652.99</v>
      </c>
      <c r="J21" s="134">
        <f t="shared" si="1"/>
        <v>358263265.4</v>
      </c>
      <c r="K21" s="136">
        <v>48549461.7</v>
      </c>
      <c r="L21" s="139">
        <f t="shared" si="0"/>
        <v>406812727.09999996</v>
      </c>
    </row>
    <row r="22" spans="2:12" ht="13.5" thickBot="1">
      <c r="B22" s="216" t="s">
        <v>19</v>
      </c>
      <c r="C22" s="87">
        <v>273242674.62</v>
      </c>
      <c r="D22" s="32">
        <v>13055221.52</v>
      </c>
      <c r="E22" s="32">
        <v>31681652.01</v>
      </c>
      <c r="F22" s="32">
        <v>33640090.23</v>
      </c>
      <c r="G22" s="32">
        <v>6541118.83</v>
      </c>
      <c r="H22" s="32">
        <v>0</v>
      </c>
      <c r="I22" s="88">
        <v>73357.89</v>
      </c>
      <c r="J22" s="135">
        <f t="shared" si="1"/>
        <v>358234115.09999996</v>
      </c>
      <c r="K22" s="137">
        <v>49351562.72</v>
      </c>
      <c r="L22" s="140">
        <f t="shared" si="0"/>
        <v>407585677.81999993</v>
      </c>
    </row>
    <row r="23" spans="2:12" ht="15" thickBot="1" thickTop="1">
      <c r="B23" s="132" t="s">
        <v>7</v>
      </c>
      <c r="C23" s="33">
        <f aca="true" t="shared" si="2" ref="C23:K23">SUM(C11:C22)</f>
        <v>2857078033.6999993</v>
      </c>
      <c r="D23" s="33">
        <f t="shared" si="2"/>
        <v>254238121.78</v>
      </c>
      <c r="E23" s="33">
        <f t="shared" si="2"/>
        <v>439298048.9000001</v>
      </c>
      <c r="F23" s="33">
        <f t="shared" si="2"/>
        <v>379229018.75</v>
      </c>
      <c r="G23" s="33">
        <f t="shared" si="2"/>
        <v>73510974.42</v>
      </c>
      <c r="H23" s="33">
        <f t="shared" si="2"/>
        <v>0</v>
      </c>
      <c r="I23" s="33">
        <f t="shared" si="2"/>
        <v>1817114.78</v>
      </c>
      <c r="J23" s="34">
        <f t="shared" si="2"/>
        <v>4005171312.33</v>
      </c>
      <c r="K23" s="33">
        <f t="shared" si="2"/>
        <v>529303859.18999994</v>
      </c>
      <c r="L23" s="38">
        <f>SUM(L11:L22)</f>
        <v>4534475171.52</v>
      </c>
    </row>
    <row r="24" spans="2:12" ht="13.5" thickTop="1">
      <c r="B24" s="9" t="s">
        <v>20</v>
      </c>
      <c r="C24" s="21">
        <f aca="true" t="shared" si="3" ref="C24:I24">+C23*100/$L23</f>
        <v>63.00790997036773</v>
      </c>
      <c r="D24" s="21">
        <f t="shared" si="3"/>
        <v>5.606781648663805</v>
      </c>
      <c r="E24" s="21">
        <f t="shared" si="3"/>
        <v>9.687957972713809</v>
      </c>
      <c r="F24" s="21">
        <f t="shared" si="3"/>
        <v>8.363239501935098</v>
      </c>
      <c r="G24" s="21">
        <f t="shared" si="3"/>
        <v>1.6211572814800175</v>
      </c>
      <c r="H24" s="21">
        <f t="shared" si="3"/>
        <v>0</v>
      </c>
      <c r="I24" s="21">
        <f t="shared" si="3"/>
        <v>0.04007332075413891</v>
      </c>
      <c r="K24" s="21">
        <f>+K23*100/$L23</f>
        <v>11.67288030408538</v>
      </c>
      <c r="L24" s="18">
        <f>+L23*100/$L23</f>
        <v>100</v>
      </c>
    </row>
    <row r="25" ht="12.75">
      <c r="L25" s="1"/>
    </row>
    <row r="26" ht="13.5" thickBot="1"/>
    <row r="27" spans="2:13" ht="15" thickBot="1" thickTop="1">
      <c r="B27" s="25" t="s">
        <v>41</v>
      </c>
      <c r="C27" s="288">
        <f>C23/12</f>
        <v>238089836.14166662</v>
      </c>
      <c r="D27" s="288">
        <f aca="true" t="shared" si="4" ref="D27:I27">D23/12</f>
        <v>21186510.148333333</v>
      </c>
      <c r="E27" s="288">
        <f t="shared" si="4"/>
        <v>36608170.741666675</v>
      </c>
      <c r="F27" s="288">
        <f t="shared" si="4"/>
        <v>31602418.229166668</v>
      </c>
      <c r="G27" s="288">
        <f t="shared" si="4"/>
        <v>6125914.535</v>
      </c>
      <c r="H27" s="288">
        <f t="shared" si="4"/>
        <v>0</v>
      </c>
      <c r="I27" s="288">
        <f t="shared" si="4"/>
        <v>151426.23166666666</v>
      </c>
      <c r="J27" s="282">
        <f>J23/12</f>
        <v>333764276.0275</v>
      </c>
      <c r="K27" s="283">
        <f>K23/12</f>
        <v>44108654.9325</v>
      </c>
      <c r="L27" s="284">
        <f>L23/12</f>
        <v>377872930.96000004</v>
      </c>
      <c r="M27" s="30"/>
    </row>
    <row r="28" ht="13.5" thickTop="1"/>
    <row r="29" ht="13.5" thickBot="1">
      <c r="H29" s="10"/>
    </row>
    <row r="30" spans="2:9" ht="18" thickBot="1" thickTop="1">
      <c r="B30" s="393" t="s">
        <v>108</v>
      </c>
      <c r="C30" s="393"/>
      <c r="D30" s="393"/>
      <c r="E30" s="393"/>
      <c r="F30" s="394">
        <f>L23</f>
        <v>4534475171.52</v>
      </c>
      <c r="G30" s="395"/>
      <c r="H30" s="10"/>
      <c r="I30" s="29"/>
    </row>
    <row r="31" ht="13.5" thickTop="1">
      <c r="H31" s="10"/>
    </row>
    <row r="33" spans="7:10" ht="12.75">
      <c r="G33" s="146"/>
      <c r="H33" s="146"/>
      <c r="I33" s="146"/>
      <c r="J33" s="146"/>
    </row>
    <row r="34" spans="7:10" ht="12.75">
      <c r="G34" s="146"/>
      <c r="H34" s="146"/>
      <c r="I34" s="146"/>
      <c r="J34" s="146"/>
    </row>
    <row r="61" ht="13.5" thickBot="1"/>
    <row r="62" spans="3:6" ht="15" thickTop="1">
      <c r="C62" s="170" t="s">
        <v>45</v>
      </c>
      <c r="E62" s="162" t="s">
        <v>73</v>
      </c>
      <c r="F62" s="196" t="s">
        <v>73</v>
      </c>
    </row>
    <row r="63" spans="2:6" ht="15.75" thickBot="1">
      <c r="B63" s="17" t="s">
        <v>1</v>
      </c>
      <c r="C63" s="171">
        <v>2017</v>
      </c>
      <c r="D63" s="22" t="s">
        <v>20</v>
      </c>
      <c r="E63" s="162" t="s">
        <v>74</v>
      </c>
      <c r="F63" s="197" t="s">
        <v>89</v>
      </c>
    </row>
    <row r="64" spans="2:6" ht="14.25" thickTop="1">
      <c r="B64" s="213" t="s">
        <v>8</v>
      </c>
      <c r="C64" s="35">
        <v>326058273.9</v>
      </c>
      <c r="D64" s="251">
        <f>C64*100/C76</f>
        <v>7.190650771403431</v>
      </c>
      <c r="E64" s="251">
        <f>+C64*100/304471908.44-100</f>
        <v>7.089772442587702</v>
      </c>
      <c r="F64" s="251">
        <f>+C64*100/234991355.67-100</f>
        <v>38.75330561430775</v>
      </c>
    </row>
    <row r="65" spans="2:6" ht="13.5">
      <c r="B65" s="213" t="s">
        <v>9</v>
      </c>
      <c r="C65" s="202">
        <v>326748404.93</v>
      </c>
      <c r="D65" s="251">
        <f>C65*100/C76</f>
        <v>7.20587041654196</v>
      </c>
      <c r="E65" s="251">
        <f aca="true" t="shared" si="5" ref="E65:E70">+C65*100/C64-100</f>
        <v>0.21165880004986093</v>
      </c>
      <c r="F65" s="251">
        <f>+C65*100/271235321.48-100</f>
        <v>20.466760430423264</v>
      </c>
    </row>
    <row r="66" spans="2:6" ht="13.5">
      <c r="B66" s="213" t="s">
        <v>10</v>
      </c>
      <c r="C66" s="202">
        <v>402724864.42</v>
      </c>
      <c r="D66" s="251">
        <f>C66*100/C76</f>
        <v>8.88139970308852</v>
      </c>
      <c r="E66" s="251">
        <f t="shared" si="5"/>
        <v>23.252281677175006</v>
      </c>
      <c r="F66" s="251">
        <f>+C66*100/311997247.71-100</f>
        <v>29.079620854325924</v>
      </c>
    </row>
    <row r="67" spans="2:6" ht="13.5">
      <c r="B67" s="213" t="s">
        <v>11</v>
      </c>
      <c r="C67" s="202">
        <v>431096195.16</v>
      </c>
      <c r="D67" s="251">
        <f>C67*100/C76</f>
        <v>9.507080287209783</v>
      </c>
      <c r="E67" s="251">
        <f t="shared" si="5"/>
        <v>7.0448420861374075</v>
      </c>
      <c r="F67" s="251">
        <f>+C67*100/258649173.44-100</f>
        <v>66.67217197197164</v>
      </c>
    </row>
    <row r="68" spans="2:6" ht="13.5">
      <c r="B68" s="213" t="s">
        <v>12</v>
      </c>
      <c r="C68" s="202">
        <v>337035197.96</v>
      </c>
      <c r="D68" s="251">
        <f>C68*100/C76</f>
        <v>7.432727828720749</v>
      </c>
      <c r="E68" s="381">
        <f t="shared" si="5"/>
        <v>-21.819027459773707</v>
      </c>
      <c r="F68" s="251">
        <f>+C68*100/252446062.86-100</f>
        <v>33.50780524824856</v>
      </c>
    </row>
    <row r="69" spans="2:6" ht="13.5">
      <c r="B69" s="213" t="s">
        <v>13</v>
      </c>
      <c r="C69" s="202">
        <v>347040141.89</v>
      </c>
      <c r="D69" s="251">
        <f>C69*100/C76</f>
        <v>7.65336954692529</v>
      </c>
      <c r="E69" s="252">
        <f t="shared" si="5"/>
        <v>2.9685160453738177</v>
      </c>
      <c r="F69" s="251">
        <f>+C69*100/244867727.49-100</f>
        <v>41.72555340277438</v>
      </c>
    </row>
    <row r="70" spans="2:6" ht="13.5">
      <c r="B70" s="213" t="s">
        <v>14</v>
      </c>
      <c r="C70" s="202">
        <v>367932365.95</v>
      </c>
      <c r="D70" s="251">
        <f>C70*100/C76</f>
        <v>8.114111380759098</v>
      </c>
      <c r="E70" s="252">
        <f t="shared" si="5"/>
        <v>6.02011742682555</v>
      </c>
      <c r="F70" s="251">
        <f>+C70*100/280794807.1-100</f>
        <v>31.03246806803216</v>
      </c>
    </row>
    <row r="71" spans="2:6" ht="13.5">
      <c r="B71" s="213" t="s">
        <v>15</v>
      </c>
      <c r="C71" s="202">
        <v>377368836.86</v>
      </c>
      <c r="D71" s="251">
        <f>C71*100/C76</f>
        <v>8.322216410626023</v>
      </c>
      <c r="E71" s="252">
        <f>+C71*100/C70-100</f>
        <v>2.564729766470819</v>
      </c>
      <c r="F71" s="251">
        <f>+C71*100/304751596.35-100</f>
        <v>23.82833802340474</v>
      </c>
    </row>
    <row r="72" spans="2:6" ht="13.5">
      <c r="B72" s="213" t="s">
        <v>16</v>
      </c>
      <c r="C72" s="202">
        <v>397273064.88</v>
      </c>
      <c r="D72" s="251">
        <f>C72*100/C76</f>
        <v>8.761169702178128</v>
      </c>
      <c r="E72" s="252">
        <f>+C72*100/C71-100</f>
        <v>5.2744758114153</v>
      </c>
      <c r="F72" s="251">
        <f>+C72*100/287396434.56-100</f>
        <v>38.231730497359734</v>
      </c>
    </row>
    <row r="73" spans="2:6" ht="13.5">
      <c r="B73" s="213" t="s">
        <v>17</v>
      </c>
      <c r="C73" s="202">
        <v>406799420.65</v>
      </c>
      <c r="D73" s="251">
        <f>C73*100/C76</f>
        <v>8.971256987027164</v>
      </c>
      <c r="E73" s="252">
        <f>+C73*100/C72-100</f>
        <v>2.3979364855449035</v>
      </c>
      <c r="F73" s="251">
        <f>+C73*100/279068116.17-100</f>
        <v>45.77065493293037</v>
      </c>
    </row>
    <row r="74" spans="2:6" ht="13.5">
      <c r="B74" s="213" t="s">
        <v>18</v>
      </c>
      <c r="C74" s="202">
        <v>406812727.1</v>
      </c>
      <c r="D74" s="251">
        <f>C74*100/C76</f>
        <v>8.971550437746302</v>
      </c>
      <c r="E74" s="252">
        <f>+C74*100/C73-100</f>
        <v>0.0032710100665269692</v>
      </c>
      <c r="F74" s="251">
        <f>+C74*100/294087388.66-100</f>
        <v>38.330558462105245</v>
      </c>
    </row>
    <row r="75" spans="2:6" ht="14.25" thickBot="1">
      <c r="B75" s="213" t="s">
        <v>19</v>
      </c>
      <c r="C75" s="203">
        <v>407585677.82</v>
      </c>
      <c r="D75" s="251">
        <f>C75*100/C76</f>
        <v>8.98859652777354</v>
      </c>
      <c r="E75" s="252">
        <f>+C75*100/C74-100</f>
        <v>0.19000160725305193</v>
      </c>
      <c r="F75" s="251">
        <f>+C75*100/304471908.44-100</f>
        <v>33.86643119502102</v>
      </c>
    </row>
    <row r="76" spans="2:4" ht="15" thickBot="1" thickTop="1">
      <c r="B76" s="109" t="s">
        <v>38</v>
      </c>
      <c r="C76" s="262">
        <f>SUM(C64:C75)</f>
        <v>4534475171.52</v>
      </c>
      <c r="D76" s="19">
        <f>C76*100/C76</f>
        <v>100</v>
      </c>
    </row>
    <row r="77" spans="2:3" ht="13.5" thickTop="1">
      <c r="B77" s="110" t="s">
        <v>41</v>
      </c>
      <c r="C77" s="36">
        <f>C76/12</f>
        <v>377872930.96000004</v>
      </c>
    </row>
    <row r="81" ht="12.75">
      <c r="H81" s="146"/>
    </row>
    <row r="82" ht="12.75">
      <c r="H82" s="146"/>
    </row>
  </sheetData>
  <mergeCells count="3">
    <mergeCell ref="B30:E30"/>
    <mergeCell ref="F30:G30"/>
    <mergeCell ref="E8:I8"/>
  </mergeCells>
  <printOptions horizontalCentered="1"/>
  <pageMargins left="0.75" right="0.75" top="1.5748031496062993" bottom="1" header="0" footer="0"/>
  <pageSetup horizontalDpi="600" verticalDpi="600" orientation="landscape" paperSize="9" r:id="rId2"/>
  <ignoredErrors>
    <ignoredError sqref="K23:L23 C23:J23 J14:J22 L14:L22" emptyCellReference="1"/>
    <ignoredError sqref="C76" emptyCellReference="1" formulaRange="1"/>
    <ignoredError sqref="C24:L24 D64 D7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3"/>
  <sheetViews>
    <sheetView workbookViewId="0" topLeftCell="B5">
      <selection activeCell="B18" sqref="B18"/>
    </sheetView>
  </sheetViews>
  <sheetFormatPr defaultColWidth="11.421875" defaultRowHeight="12.75"/>
  <cols>
    <col min="1" max="1" width="31.421875" style="0" customWidth="1"/>
    <col min="2" max="2" width="20.7109375" style="0" customWidth="1"/>
    <col min="3" max="4" width="18.8515625" style="0" customWidth="1"/>
    <col min="5" max="5" width="11.7109375" style="0" customWidth="1"/>
    <col min="6" max="6" width="19.7109375" style="0" customWidth="1"/>
    <col min="7" max="7" width="18.7109375" style="0" customWidth="1"/>
    <col min="8" max="8" width="11.7109375" style="0" customWidth="1"/>
    <col min="9" max="9" width="12.00390625" style="0" customWidth="1"/>
    <col min="10" max="10" width="12.8515625" style="0" customWidth="1"/>
    <col min="11" max="11" width="14.140625" style="0" customWidth="1"/>
  </cols>
  <sheetData>
    <row r="4" ht="12.75">
      <c r="C4" s="23"/>
    </row>
    <row r="10" spans="1:6" ht="15">
      <c r="A10" s="399" t="s">
        <v>52</v>
      </c>
      <c r="B10" s="399"/>
      <c r="C10" s="399"/>
      <c r="D10" s="399"/>
      <c r="E10" s="399"/>
      <c r="F10" s="399"/>
    </row>
    <row r="11" spans="1:6" ht="18">
      <c r="A11" s="400" t="s">
        <v>109</v>
      </c>
      <c r="B11" s="400"/>
      <c r="C11" s="400"/>
      <c r="D11" s="400"/>
      <c r="E11" s="400"/>
      <c r="F11" s="400"/>
    </row>
    <row r="13" spans="1:7" ht="14.25">
      <c r="A13" s="169" t="s">
        <v>53</v>
      </c>
      <c r="B13" s="161"/>
      <c r="G13" t="s">
        <v>39</v>
      </c>
    </row>
    <row r="14" ht="13.5" thickBot="1"/>
    <row r="15" spans="1:8" ht="14.25" thickTop="1">
      <c r="A15" s="10"/>
      <c r="B15" s="299" t="s">
        <v>21</v>
      </c>
      <c r="C15" s="164" t="s">
        <v>21</v>
      </c>
      <c r="D15" s="302" t="s">
        <v>28</v>
      </c>
      <c r="E15" s="305" t="s">
        <v>22</v>
      </c>
      <c r="F15" s="296" t="s">
        <v>21</v>
      </c>
      <c r="G15" s="293" t="s">
        <v>28</v>
      </c>
      <c r="H15" s="305" t="s">
        <v>22</v>
      </c>
    </row>
    <row r="16" spans="1:8" ht="14.25">
      <c r="A16" s="289" t="s">
        <v>23</v>
      </c>
      <c r="B16" s="300" t="s">
        <v>110</v>
      </c>
      <c r="C16" s="163" t="s">
        <v>107</v>
      </c>
      <c r="D16" s="303" t="s">
        <v>49</v>
      </c>
      <c r="E16" s="306" t="s">
        <v>24</v>
      </c>
      <c r="F16" s="297" t="s">
        <v>111</v>
      </c>
      <c r="G16" s="294" t="s">
        <v>49</v>
      </c>
      <c r="H16" s="306" t="s">
        <v>25</v>
      </c>
    </row>
    <row r="17" spans="1:8" ht="15.75" thickBot="1">
      <c r="A17" s="290"/>
      <c r="B17" s="301"/>
      <c r="C17" s="26"/>
      <c r="D17" s="304" t="s">
        <v>50</v>
      </c>
      <c r="E17" s="307" t="s">
        <v>26</v>
      </c>
      <c r="F17" s="298"/>
      <c r="G17" s="295" t="s">
        <v>51</v>
      </c>
      <c r="H17" s="307" t="s">
        <v>26</v>
      </c>
    </row>
    <row r="18" spans="1:8" ht="15.75" thickTop="1">
      <c r="A18" s="165" t="s">
        <v>2</v>
      </c>
      <c r="B18" s="111">
        <v>273242674.62</v>
      </c>
      <c r="C18" s="15">
        <v>268084989.14</v>
      </c>
      <c r="D18" s="292">
        <f>+B18-C18</f>
        <v>5157685.480000019</v>
      </c>
      <c r="E18" s="241">
        <f>+B18*100/C18-100</f>
        <v>1.9238993934518902</v>
      </c>
      <c r="F18" s="291">
        <v>205475045.45</v>
      </c>
      <c r="G18" s="292">
        <f>+B18-F18</f>
        <v>67767629.17000002</v>
      </c>
      <c r="H18" s="241">
        <f>+B18*100/F18-100</f>
        <v>32.98095348833516</v>
      </c>
    </row>
    <row r="19" spans="1:8" ht="15">
      <c r="A19" s="166"/>
      <c r="B19" s="94"/>
      <c r="C19" s="24"/>
      <c r="D19" s="24"/>
      <c r="E19" s="245"/>
      <c r="F19" s="37"/>
      <c r="G19" s="37"/>
      <c r="H19" s="242"/>
    </row>
    <row r="20" spans="1:8" ht="15">
      <c r="A20" s="167" t="s">
        <v>32</v>
      </c>
      <c r="B20" s="95">
        <v>88053052.73</v>
      </c>
      <c r="C20" s="24">
        <v>84965154.47</v>
      </c>
      <c r="D20" s="15">
        <f>+B20-C20</f>
        <v>3087898.2600000054</v>
      </c>
      <c r="E20" s="241">
        <f>+B20*100/C20-100</f>
        <v>3.6343113588880698</v>
      </c>
      <c r="F20" s="37">
        <v>57369173.27</v>
      </c>
      <c r="G20" s="15">
        <f>+B20-F20</f>
        <v>30683879.46</v>
      </c>
      <c r="H20" s="241">
        <f>+B20*100/F20-100</f>
        <v>53.484960146785795</v>
      </c>
    </row>
    <row r="21" spans="1:8" ht="15">
      <c r="A21" s="167" t="s">
        <v>31</v>
      </c>
      <c r="B21" s="95">
        <v>185189621.89</v>
      </c>
      <c r="C21" s="24">
        <v>183119834.67</v>
      </c>
      <c r="D21" s="15">
        <f>+B21-C21</f>
        <v>2069787.2199999988</v>
      </c>
      <c r="E21" s="241">
        <f>+B21*100/C21-100</f>
        <v>1.1302911144114915</v>
      </c>
      <c r="F21" s="37">
        <v>148105872.18</v>
      </c>
      <c r="G21" s="15">
        <f>+B21-F21</f>
        <v>37083749.70999998</v>
      </c>
      <c r="H21" s="241">
        <f>+B21*100/F21-100</f>
        <v>25.0386761606119</v>
      </c>
    </row>
    <row r="22" spans="1:8" ht="15">
      <c r="A22" s="166"/>
      <c r="B22" s="96"/>
      <c r="C22" s="24"/>
      <c r="D22" s="37"/>
      <c r="E22" s="228"/>
      <c r="F22" s="37"/>
      <c r="G22" s="37"/>
      <c r="H22" s="242"/>
    </row>
    <row r="23" spans="1:8" ht="15">
      <c r="A23" s="165" t="s">
        <v>3</v>
      </c>
      <c r="B23" s="93">
        <v>13055221.52</v>
      </c>
      <c r="C23" s="15">
        <v>15265240.12</v>
      </c>
      <c r="D23" s="15">
        <f>+B23-C23</f>
        <v>-2210018.5999999996</v>
      </c>
      <c r="E23" s="390">
        <f>+B23*100/C23-100</f>
        <v>-14.477457168226977</v>
      </c>
      <c r="F23" s="159">
        <v>10203811.43</v>
      </c>
      <c r="G23" s="15">
        <f>+B23-F23</f>
        <v>2851410.09</v>
      </c>
      <c r="H23" s="241">
        <f>+B23*100/F23-100</f>
        <v>27.944558850006118</v>
      </c>
    </row>
    <row r="24" spans="1:8" ht="15">
      <c r="A24" s="166"/>
      <c r="B24" s="94"/>
      <c r="C24" s="24"/>
      <c r="D24" s="24"/>
      <c r="E24" s="243"/>
      <c r="F24" s="37"/>
      <c r="G24" s="24"/>
      <c r="H24" s="245"/>
    </row>
    <row r="25" spans="1:8" ht="15">
      <c r="A25" s="165" t="s">
        <v>4</v>
      </c>
      <c r="B25" s="93">
        <v>31681652.01</v>
      </c>
      <c r="C25" s="15">
        <v>30963029.24</v>
      </c>
      <c r="D25" s="15">
        <f>+B25-C25</f>
        <v>718622.7700000033</v>
      </c>
      <c r="E25" s="241">
        <f>+B25*100/C25-100</f>
        <v>2.3209058920877084</v>
      </c>
      <c r="F25" s="159">
        <v>24852445.18</v>
      </c>
      <c r="G25" s="15">
        <f>+B25-F25</f>
        <v>6829206.830000002</v>
      </c>
      <c r="H25" s="241">
        <f>+B25*100/F25-100</f>
        <v>27.47901375714855</v>
      </c>
    </row>
    <row r="26" spans="1:8" ht="15">
      <c r="A26" s="166"/>
      <c r="B26" s="94"/>
      <c r="C26" s="24"/>
      <c r="D26" s="24"/>
      <c r="E26" s="243"/>
      <c r="F26" s="37"/>
      <c r="G26" s="24"/>
      <c r="H26" s="243"/>
    </row>
    <row r="27" spans="1:8" ht="15">
      <c r="A27" s="165" t="s">
        <v>5</v>
      </c>
      <c r="B27" s="93">
        <v>33640090.23</v>
      </c>
      <c r="C27" s="15">
        <v>36711721.01</v>
      </c>
      <c r="D27" s="15">
        <f>+B27-C27</f>
        <v>-3071630.780000001</v>
      </c>
      <c r="E27" s="390">
        <f>+B27*100/C27-100</f>
        <v>-8.366893993238051</v>
      </c>
      <c r="F27" s="159">
        <v>23955926.28</v>
      </c>
      <c r="G27" s="15">
        <f>+B27-F27</f>
        <v>9684163.949999996</v>
      </c>
      <c r="H27" s="241">
        <f>+B27*100/F27-100</f>
        <v>40.424919649569034</v>
      </c>
    </row>
    <row r="28" spans="1:8" ht="15">
      <c r="A28" s="166"/>
      <c r="B28" s="94"/>
      <c r="C28" s="24"/>
      <c r="D28" s="24"/>
      <c r="E28" s="243"/>
      <c r="F28" s="37"/>
      <c r="G28" s="37"/>
      <c r="H28" s="242"/>
    </row>
    <row r="29" spans="1:8" ht="15">
      <c r="A29" s="165" t="s">
        <v>46</v>
      </c>
      <c r="B29" s="93">
        <v>6541118.83</v>
      </c>
      <c r="C29" s="15">
        <v>7045632.9</v>
      </c>
      <c r="D29" s="15">
        <f>+B29-C29</f>
        <v>-504514.0700000003</v>
      </c>
      <c r="E29" s="390">
        <f>+B29*100/C29-100</f>
        <v>-7.160663593472208</v>
      </c>
      <c r="F29" s="159">
        <v>4656736.23</v>
      </c>
      <c r="G29" s="15">
        <f>+B29-F29</f>
        <v>1884382.5999999996</v>
      </c>
      <c r="H29" s="241">
        <f>+B29*100/F29-100</f>
        <v>40.465736235182874</v>
      </c>
    </row>
    <row r="30" spans="1:8" ht="15">
      <c r="A30" s="166"/>
      <c r="B30" s="94"/>
      <c r="C30" s="24"/>
      <c r="D30" s="24"/>
      <c r="E30" s="243"/>
      <c r="F30" s="37"/>
      <c r="G30" s="24"/>
      <c r="H30" s="243"/>
    </row>
    <row r="31" spans="1:8" ht="15">
      <c r="A31" s="165" t="s">
        <v>56</v>
      </c>
      <c r="B31" s="93">
        <v>0</v>
      </c>
      <c r="C31" s="15">
        <v>0</v>
      </c>
      <c r="D31" s="15">
        <f>+B31-C31</f>
        <v>0</v>
      </c>
      <c r="E31" s="241">
        <v>0</v>
      </c>
      <c r="F31" s="159">
        <v>0</v>
      </c>
      <c r="G31" s="15">
        <f>+B31-F31</f>
        <v>0</v>
      </c>
      <c r="H31" s="241">
        <v>0</v>
      </c>
    </row>
    <row r="32" spans="1:8" ht="15">
      <c r="A32" s="161"/>
      <c r="B32" s="94"/>
      <c r="C32" s="24"/>
      <c r="D32" s="24"/>
      <c r="E32" s="229"/>
      <c r="F32" s="37"/>
      <c r="G32" s="24"/>
      <c r="H32" s="244"/>
    </row>
    <row r="33" spans="1:8" ht="15">
      <c r="A33" s="165" t="s">
        <v>47</v>
      </c>
      <c r="B33" s="93">
        <v>73357.89</v>
      </c>
      <c r="C33" s="15">
        <v>192652.99</v>
      </c>
      <c r="D33" s="15">
        <f>+B33-C33</f>
        <v>-119295.09999999999</v>
      </c>
      <c r="E33" s="390">
        <f>+B33*100/C33-100</f>
        <v>-61.92226759626207</v>
      </c>
      <c r="F33" s="159">
        <v>51395.66</v>
      </c>
      <c r="G33" s="15">
        <f>+B33-F33</f>
        <v>21962.229999999996</v>
      </c>
      <c r="H33" s="241">
        <f>+B33*100/F33-100</f>
        <v>42.73168201361747</v>
      </c>
    </row>
    <row r="34" spans="1:8" ht="15.75" thickBot="1">
      <c r="A34" s="161"/>
      <c r="B34" s="94"/>
      <c r="C34" s="97"/>
      <c r="D34" s="97"/>
      <c r="E34" s="382"/>
      <c r="F34" s="24"/>
      <c r="G34" s="97"/>
      <c r="H34" s="230"/>
    </row>
    <row r="35" spans="1:8" ht="18" thickBot="1" thickTop="1">
      <c r="A35" s="168" t="s">
        <v>57</v>
      </c>
      <c r="B35" s="98">
        <f>SUM(B20:B34)</f>
        <v>358234115.09999996</v>
      </c>
      <c r="C35" s="99">
        <f>SUM(C20:C34)</f>
        <v>358263265.4</v>
      </c>
      <c r="D35" s="99">
        <f>+B35-C35</f>
        <v>-29150.30000001192</v>
      </c>
      <c r="E35" s="391">
        <f>+B35*100/C35-100</f>
        <v>-0.008136558451624865</v>
      </c>
      <c r="F35" s="99">
        <f>SUM(F20:F34)</f>
        <v>269195360.2300001</v>
      </c>
      <c r="G35" s="99">
        <f>+B35-F35</f>
        <v>89038754.86999989</v>
      </c>
      <c r="H35" s="249">
        <f>+B35*100/F35-100</f>
        <v>33.07588763562839</v>
      </c>
    </row>
    <row r="36" spans="1:8" ht="15.75" thickTop="1">
      <c r="A36" s="161"/>
      <c r="B36" s="100"/>
      <c r="C36" s="97"/>
      <c r="D36" s="97"/>
      <c r="E36" s="323"/>
      <c r="F36" s="97"/>
      <c r="G36" s="97"/>
      <c r="H36" s="231"/>
    </row>
    <row r="37" spans="1:8" ht="15">
      <c r="A37" s="338" t="s">
        <v>6</v>
      </c>
      <c r="B37" s="149">
        <v>49351562.72</v>
      </c>
      <c r="C37" s="15">
        <v>48549461.7</v>
      </c>
      <c r="D37" s="15">
        <f>+B37-C37</f>
        <v>802101.0199999958</v>
      </c>
      <c r="E37" s="253">
        <f>+B37*100/C37-100</f>
        <v>1.6521316445409724</v>
      </c>
      <c r="F37" s="15">
        <v>35276548.21</v>
      </c>
      <c r="G37" s="15">
        <f>+B37-F37</f>
        <v>14075014.509999998</v>
      </c>
      <c r="H37" s="253">
        <f>+B37*100/F37-100</f>
        <v>39.89906956375651</v>
      </c>
    </row>
    <row r="38" spans="1:8" ht="15" thickBot="1">
      <c r="A38" s="161"/>
      <c r="B38" s="100"/>
      <c r="C38" s="1"/>
      <c r="D38" s="97"/>
      <c r="E38" s="324"/>
      <c r="F38" s="97"/>
      <c r="G38" s="97"/>
      <c r="H38" s="39"/>
    </row>
    <row r="39" spans="1:8" ht="21.75" thickBot="1" thickTop="1">
      <c r="A39" s="168" t="s">
        <v>27</v>
      </c>
      <c r="B39" s="312">
        <f>+B35+B37</f>
        <v>407585677.81999993</v>
      </c>
      <c r="C39" s="101">
        <f>+C35+C37</f>
        <v>406812727.09999996</v>
      </c>
      <c r="D39" s="99">
        <f>+B39-C39</f>
        <v>772950.719999969</v>
      </c>
      <c r="E39" s="383">
        <f>+B39*100/C39-100</f>
        <v>0.19000160725305193</v>
      </c>
      <c r="F39" s="99">
        <f>+F35+F37</f>
        <v>304471908.44000006</v>
      </c>
      <c r="G39" s="99">
        <f>+B39-F39</f>
        <v>103113769.37999988</v>
      </c>
      <c r="H39" s="240">
        <f>+B39*100/F39-100</f>
        <v>33.866431195020965</v>
      </c>
    </row>
    <row r="40" ht="14.25" thickTop="1">
      <c r="A40" s="161"/>
    </row>
    <row r="41" spans="1:4" ht="13.5" thickBot="1">
      <c r="A41" s="162" t="s">
        <v>37</v>
      </c>
      <c r="B41" s="339" t="s">
        <v>35</v>
      </c>
      <c r="C41" s="339" t="s">
        <v>36</v>
      </c>
      <c r="D41" s="13" t="s">
        <v>7</v>
      </c>
    </row>
    <row r="42" spans="1:4" ht="18.75" customHeight="1" thickBot="1" thickTop="1">
      <c r="A42" s="14"/>
      <c r="B42" s="285">
        <v>45819344.01</v>
      </c>
      <c r="C42" s="285">
        <v>3532218.71</v>
      </c>
      <c r="D42" s="370">
        <f>SUM(B42:C42)</f>
        <v>49351562.72</v>
      </c>
    </row>
    <row r="43" spans="1:4" ht="13.5" thickTop="1">
      <c r="A43" s="8" t="s">
        <v>42</v>
      </c>
      <c r="B43" s="20">
        <f>B42*100/D42</f>
        <v>92.84274192077702</v>
      </c>
      <c r="C43" s="20">
        <f>C42*100/D42</f>
        <v>7.157258079222988</v>
      </c>
      <c r="D43" s="20">
        <f>D42*100/D42</f>
        <v>100</v>
      </c>
    </row>
  </sheetData>
  <mergeCells count="2">
    <mergeCell ref="A10:F10"/>
    <mergeCell ref="A11:F11"/>
  </mergeCells>
  <printOptions/>
  <pageMargins left="0" right="0" top="0.3937007874015748" bottom="0" header="0" footer="0"/>
  <pageSetup horizontalDpi="600" verticalDpi="600" orientation="landscape" paperSize="9" r:id="rId2"/>
  <ignoredErrors>
    <ignoredError sqref="B43:D43 E18:E35 E37:E39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L47"/>
  <sheetViews>
    <sheetView workbookViewId="0" topLeftCell="A28">
      <selection activeCell="E37" sqref="E37"/>
    </sheetView>
  </sheetViews>
  <sheetFormatPr defaultColWidth="11.421875" defaultRowHeight="12.75"/>
  <cols>
    <col min="1" max="1" width="6.8515625" style="0" customWidth="1"/>
    <col min="2" max="2" width="10.28125" style="0" customWidth="1"/>
    <col min="5" max="5" width="14.421875" style="0" customWidth="1"/>
    <col min="7" max="7" width="9.28125" style="0" customWidth="1"/>
    <col min="9" max="9" width="15.28125" style="0" customWidth="1"/>
    <col min="10" max="10" width="11.28125" style="0" customWidth="1"/>
  </cols>
  <sheetData>
    <row r="2" ht="13.5" customHeight="1"/>
    <row r="3" ht="12" customHeight="1"/>
    <row r="4" ht="11.25" customHeight="1"/>
    <row r="5" ht="12.75" customHeight="1"/>
    <row r="6" ht="12" customHeight="1">
      <c r="E6" s="2"/>
    </row>
    <row r="7" ht="12" customHeight="1">
      <c r="E7" s="2"/>
    </row>
    <row r="8" spans="3:10" ht="15">
      <c r="C8" s="399" t="s">
        <v>112</v>
      </c>
      <c r="D8" s="399"/>
      <c r="E8" s="399"/>
      <c r="F8" s="399"/>
      <c r="G8" s="399"/>
      <c r="H8" s="399"/>
      <c r="I8" s="399"/>
      <c r="J8" s="399"/>
    </row>
    <row r="9" ht="9.75" customHeight="1"/>
    <row r="10" spans="3:10" ht="13.5" customHeight="1">
      <c r="C10" s="403" t="s">
        <v>40</v>
      </c>
      <c r="D10" s="403"/>
      <c r="E10" s="403"/>
      <c r="F10" s="403"/>
      <c r="G10" s="403"/>
      <c r="H10" s="403"/>
      <c r="I10" s="403"/>
      <c r="J10" s="403"/>
    </row>
    <row r="11" ht="12" customHeight="1"/>
    <row r="12" ht="12" customHeight="1" thickBot="1"/>
    <row r="13" spans="4:10" ht="15" thickBot="1" thickTop="1">
      <c r="D13" s="308" t="s">
        <v>87</v>
      </c>
      <c r="E13" s="380" t="s">
        <v>21</v>
      </c>
      <c r="F13" s="16"/>
      <c r="H13" s="401" t="s">
        <v>29</v>
      </c>
      <c r="I13" s="402"/>
      <c r="J13" s="8" t="s">
        <v>20</v>
      </c>
    </row>
    <row r="14" spans="4:10" ht="13.5" customHeight="1" thickTop="1">
      <c r="D14" s="204">
        <v>1994</v>
      </c>
      <c r="E14" s="103">
        <v>4911456.03</v>
      </c>
      <c r="F14" s="4"/>
      <c r="H14" s="172" t="s">
        <v>113</v>
      </c>
      <c r="I14" s="173"/>
      <c r="J14" s="346">
        <f>E$37*100/E14-100</f>
        <v>8198.673047878226</v>
      </c>
    </row>
    <row r="15" spans="4:10" ht="13.5" customHeight="1">
      <c r="D15" s="204">
        <v>1995</v>
      </c>
      <c r="E15" s="103">
        <v>6770732.27</v>
      </c>
      <c r="F15" s="16"/>
      <c r="H15" s="172" t="s">
        <v>114</v>
      </c>
      <c r="I15" s="173"/>
      <c r="J15" s="237">
        <f>E$37*100/E15-100</f>
        <v>5919.816787409319</v>
      </c>
    </row>
    <row r="16" spans="4:10" ht="13.5" customHeight="1">
      <c r="D16" s="204">
        <v>1996</v>
      </c>
      <c r="E16" s="103">
        <v>6260589.9</v>
      </c>
      <c r="H16" s="172" t="s">
        <v>115</v>
      </c>
      <c r="I16" s="173"/>
      <c r="J16" s="237">
        <f aca="true" t="shared" si="0" ref="J16:J36">E$37*100/E16-100</f>
        <v>6410.339829478368</v>
      </c>
    </row>
    <row r="17" spans="4:10" ht="13.5" customHeight="1">
      <c r="D17" s="205">
        <v>1997</v>
      </c>
      <c r="E17" s="104">
        <v>9263232.47</v>
      </c>
      <c r="H17" s="172" t="s">
        <v>116</v>
      </c>
      <c r="I17" s="173"/>
      <c r="J17" s="237">
        <f t="shared" si="0"/>
        <v>4300.037234734324</v>
      </c>
    </row>
    <row r="18" spans="4:10" ht="13.5" customHeight="1">
      <c r="D18" s="205">
        <v>1998</v>
      </c>
      <c r="E18" s="104">
        <v>7845939.9</v>
      </c>
      <c r="H18" s="172" t="s">
        <v>117</v>
      </c>
      <c r="I18" s="173"/>
      <c r="J18" s="237">
        <f t="shared" si="0"/>
        <v>5094.861074834386</v>
      </c>
    </row>
    <row r="19" spans="4:10" ht="13.5" customHeight="1">
      <c r="D19" s="205">
        <v>1999</v>
      </c>
      <c r="E19" s="104">
        <v>7494599.67</v>
      </c>
      <c r="H19" s="172" t="s">
        <v>118</v>
      </c>
      <c r="I19" s="173"/>
      <c r="J19" s="237">
        <f t="shared" si="0"/>
        <v>5338.391585497455</v>
      </c>
    </row>
    <row r="20" spans="4:10" ht="13.5" customHeight="1">
      <c r="D20" s="205">
        <v>2000</v>
      </c>
      <c r="E20" s="104">
        <v>8683408.19</v>
      </c>
      <c r="H20" s="172" t="s">
        <v>119</v>
      </c>
      <c r="I20" s="173"/>
      <c r="J20" s="237">
        <f t="shared" si="0"/>
        <v>4593.844500934373</v>
      </c>
    </row>
    <row r="21" spans="4:10" ht="13.5" customHeight="1">
      <c r="D21" s="205">
        <v>2001</v>
      </c>
      <c r="E21" s="104">
        <v>4055297.81</v>
      </c>
      <c r="H21" s="172" t="s">
        <v>120</v>
      </c>
      <c r="I21" s="173"/>
      <c r="J21" s="237">
        <f t="shared" si="0"/>
        <v>9950.696568200992</v>
      </c>
    </row>
    <row r="22" spans="3:10" ht="13.5" customHeight="1">
      <c r="C22" s="5"/>
      <c r="D22" s="205">
        <v>2002</v>
      </c>
      <c r="E22" s="104">
        <v>6790568.97</v>
      </c>
      <c r="F22" s="6"/>
      <c r="G22" s="6"/>
      <c r="H22" s="172" t="s">
        <v>121</v>
      </c>
      <c r="I22" s="173"/>
      <c r="J22" s="237">
        <f t="shared" si="0"/>
        <v>5902.23161889187</v>
      </c>
    </row>
    <row r="23" spans="4:10" ht="13.5" customHeight="1">
      <c r="D23" s="205">
        <v>2003</v>
      </c>
      <c r="E23" s="104">
        <v>8718941.35</v>
      </c>
      <c r="H23" s="172" t="s">
        <v>122</v>
      </c>
      <c r="I23" s="173"/>
      <c r="J23" s="237">
        <f t="shared" si="0"/>
        <v>4574.715214364873</v>
      </c>
    </row>
    <row r="24" spans="4:10" ht="13.5" customHeight="1">
      <c r="D24" s="206">
        <v>2004</v>
      </c>
      <c r="E24" s="105">
        <v>13703705.86</v>
      </c>
      <c r="H24" s="172" t="s">
        <v>123</v>
      </c>
      <c r="I24" s="173"/>
      <c r="J24" s="237">
        <f t="shared" si="0"/>
        <v>2874.2733971670345</v>
      </c>
    </row>
    <row r="25" spans="4:10" ht="13.5" customHeight="1">
      <c r="D25" s="206">
        <v>2005</v>
      </c>
      <c r="E25" s="105">
        <v>16248475.26</v>
      </c>
      <c r="H25" s="172" t="s">
        <v>124</v>
      </c>
      <c r="I25" s="173"/>
      <c r="J25" s="237">
        <f t="shared" si="0"/>
        <v>2408.454924526869</v>
      </c>
    </row>
    <row r="26" spans="3:12" ht="13.5" customHeight="1">
      <c r="C26" s="10"/>
      <c r="D26" s="340">
        <v>2006</v>
      </c>
      <c r="E26" s="105">
        <v>20295020.33</v>
      </c>
      <c r="F26" s="1"/>
      <c r="H26" s="172" t="s">
        <v>125</v>
      </c>
      <c r="I26" s="173"/>
      <c r="J26" s="237">
        <f t="shared" si="0"/>
        <v>1908.3038656409171</v>
      </c>
      <c r="L26" s="10"/>
    </row>
    <row r="27" spans="4:10" ht="13.5" customHeight="1">
      <c r="D27" s="341">
        <v>2007</v>
      </c>
      <c r="E27" s="106">
        <v>26926062.62</v>
      </c>
      <c r="F27" s="1"/>
      <c r="H27" s="172" t="s">
        <v>126</v>
      </c>
      <c r="I27" s="173"/>
      <c r="J27" s="237">
        <f t="shared" si="0"/>
        <v>1413.7217927928891</v>
      </c>
    </row>
    <row r="28" spans="4:10" ht="13.5" customHeight="1">
      <c r="D28" s="342">
        <v>2008</v>
      </c>
      <c r="E28" s="107">
        <v>36510582.65</v>
      </c>
      <c r="H28" s="172" t="s">
        <v>127</v>
      </c>
      <c r="I28" s="173"/>
      <c r="J28" s="237">
        <f t="shared" si="0"/>
        <v>1016.3494204604265</v>
      </c>
    </row>
    <row r="29" spans="4:10" ht="13.5" customHeight="1">
      <c r="D29" s="341">
        <v>2009</v>
      </c>
      <c r="E29" s="107">
        <v>39385548.13</v>
      </c>
      <c r="H29" s="172" t="s">
        <v>128</v>
      </c>
      <c r="I29" s="173"/>
      <c r="J29" s="237">
        <f t="shared" si="0"/>
        <v>934.8610014888727</v>
      </c>
    </row>
    <row r="30" spans="4:10" ht="13.5" customHeight="1">
      <c r="D30" s="342">
        <v>2010</v>
      </c>
      <c r="E30" s="106">
        <v>59844625.61</v>
      </c>
      <c r="H30" s="172" t="s">
        <v>129</v>
      </c>
      <c r="I30" s="173"/>
      <c r="J30" s="237">
        <f t="shared" si="0"/>
        <v>581.0731517917503</v>
      </c>
    </row>
    <row r="31" spans="4:10" ht="13.5" customHeight="1">
      <c r="D31" s="343">
        <v>2011</v>
      </c>
      <c r="E31" s="106">
        <v>79410535.76</v>
      </c>
      <c r="H31" s="172" t="s">
        <v>130</v>
      </c>
      <c r="I31" s="173"/>
      <c r="J31" s="237">
        <f t="shared" si="0"/>
        <v>413.26398181197715</v>
      </c>
    </row>
    <row r="32" spans="4:10" ht="13.5" customHeight="1">
      <c r="D32" s="344">
        <v>2012</v>
      </c>
      <c r="E32" s="106">
        <v>104811403.8</v>
      </c>
      <c r="H32" s="172" t="s">
        <v>131</v>
      </c>
      <c r="I32" s="173"/>
      <c r="J32" s="237">
        <f t="shared" si="0"/>
        <v>288.87531608464155</v>
      </c>
    </row>
    <row r="33" spans="4:10" ht="13.5" customHeight="1">
      <c r="D33" s="344">
        <v>2013</v>
      </c>
      <c r="E33" s="107">
        <v>136102559.74</v>
      </c>
      <c r="H33" s="172" t="s">
        <v>132</v>
      </c>
      <c r="I33" s="173"/>
      <c r="J33" s="237">
        <f t="shared" si="0"/>
        <v>199.46951666347843</v>
      </c>
    </row>
    <row r="34" spans="4:10" ht="14.25" customHeight="1">
      <c r="D34" s="344">
        <v>2014</v>
      </c>
      <c r="E34" s="107">
        <v>181247757.63</v>
      </c>
      <c r="H34" s="172" t="s">
        <v>133</v>
      </c>
      <c r="I34" s="173"/>
      <c r="J34" s="237">
        <f t="shared" si="0"/>
        <v>124.87763884618494</v>
      </c>
    </row>
    <row r="35" spans="4:10" ht="13.5" customHeight="1">
      <c r="D35" s="344">
        <v>2015</v>
      </c>
      <c r="E35" s="106">
        <v>219760284.61</v>
      </c>
      <c r="H35" s="172" t="s">
        <v>134</v>
      </c>
      <c r="I35" s="173"/>
      <c r="J35" s="237">
        <f t="shared" si="0"/>
        <v>85.4683063153683</v>
      </c>
    </row>
    <row r="36" spans="4:10" ht="15.75" customHeight="1" thickBot="1">
      <c r="D36" s="345">
        <v>2016</v>
      </c>
      <c r="E36" s="371">
        <v>304471908.44</v>
      </c>
      <c r="H36" s="172" t="s">
        <v>135</v>
      </c>
      <c r="I36" s="173"/>
      <c r="J36" s="255">
        <f t="shared" si="0"/>
        <v>33.86643119502102</v>
      </c>
    </row>
    <row r="37" spans="4:10" ht="14.25" thickBot="1" thickTop="1">
      <c r="D37" s="309">
        <v>2017</v>
      </c>
      <c r="E37" s="372">
        <v>407585677.82</v>
      </c>
      <c r="H37" s="210" t="s">
        <v>136</v>
      </c>
      <c r="I37" s="310"/>
      <c r="J37" s="347" t="s">
        <v>30</v>
      </c>
    </row>
    <row r="47" spans="3:12" ht="12.75">
      <c r="C47" s="10"/>
      <c r="L47" s="10"/>
    </row>
  </sheetData>
  <mergeCells count="3">
    <mergeCell ref="H13:I13"/>
    <mergeCell ref="C8:J8"/>
    <mergeCell ref="C10:J10"/>
  </mergeCells>
  <printOptions/>
  <pageMargins left="0.3937007874015748" right="0" top="0.3937007874015748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51"/>
  <sheetViews>
    <sheetView workbookViewId="0" topLeftCell="A25">
      <selection activeCell="D36" sqref="D36"/>
    </sheetView>
  </sheetViews>
  <sheetFormatPr defaultColWidth="11.421875" defaultRowHeight="12.75"/>
  <cols>
    <col min="1" max="1" width="5.7109375" style="0" customWidth="1"/>
    <col min="2" max="2" width="10.28125" style="0" customWidth="1"/>
    <col min="3" max="3" width="13.57421875" style="0" customWidth="1"/>
    <col min="4" max="4" width="15.28125" style="0" customWidth="1"/>
    <col min="5" max="5" width="13.421875" style="0" customWidth="1"/>
    <col min="8" max="8" width="19.00390625" style="0" customWidth="1"/>
    <col min="9" max="9" width="10.57421875" style="0" customWidth="1"/>
    <col min="10" max="10" width="12.140625" style="0" customWidth="1"/>
  </cols>
  <sheetData>
    <row r="2" ht="15.75" customHeight="1"/>
    <row r="3" ht="12" customHeight="1">
      <c r="E3" s="2"/>
    </row>
    <row r="4" ht="12" customHeight="1">
      <c r="E4" s="2"/>
    </row>
    <row r="5" ht="12" customHeight="1">
      <c r="E5" s="2"/>
    </row>
    <row r="6" ht="12" customHeight="1"/>
    <row r="7" ht="12" customHeight="1"/>
    <row r="8" spans="4:9" ht="15">
      <c r="D8" s="406" t="s">
        <v>137</v>
      </c>
      <c r="E8" s="406"/>
      <c r="F8" s="406"/>
      <c r="G8" s="406"/>
      <c r="H8" s="406"/>
      <c r="I8" s="406"/>
    </row>
    <row r="9" ht="12" customHeight="1"/>
    <row r="10" spans="4:9" ht="12" customHeight="1">
      <c r="D10" s="407" t="s">
        <v>43</v>
      </c>
      <c r="E10" s="407"/>
      <c r="F10" s="407"/>
      <c r="G10" s="407"/>
      <c r="H10" s="407"/>
      <c r="I10" s="407"/>
    </row>
    <row r="11" spans="4:6" ht="12" customHeight="1" thickBot="1">
      <c r="D11" s="4"/>
      <c r="E11" s="4"/>
      <c r="F11" s="4"/>
    </row>
    <row r="12" spans="3:9" ht="14.25" thickBot="1" thickTop="1">
      <c r="C12" s="308" t="s">
        <v>138</v>
      </c>
      <c r="D12" s="388" t="s">
        <v>33</v>
      </c>
      <c r="E12" s="4"/>
      <c r="F12" s="4"/>
      <c r="G12" s="404" t="s">
        <v>29</v>
      </c>
      <c r="H12" s="405"/>
      <c r="I12" s="8" t="s">
        <v>20</v>
      </c>
    </row>
    <row r="13" spans="3:9" ht="13.5" customHeight="1" thickTop="1">
      <c r="C13" s="207">
        <v>1994</v>
      </c>
      <c r="D13" s="103">
        <f>6391988.41+5934209.14+4850056.58+6198639.59+7020809.77+5674785.22+5449393.97+5736945.8+6115217.97+5440308.13+5291844.21+4911456.03</f>
        <v>69015654.82</v>
      </c>
      <c r="G13" s="172" t="s">
        <v>139</v>
      </c>
      <c r="H13" s="173"/>
      <c r="I13" s="238">
        <f>D$36*100/D13-100</f>
        <v>6470.212487799157</v>
      </c>
    </row>
    <row r="14" spans="3:9" ht="13.5" customHeight="1">
      <c r="C14" s="207">
        <v>1995</v>
      </c>
      <c r="D14" s="103">
        <f>4259432.51+4295173.83+4354952.48+4053628.77+4897275.85+3807075.04+3864770.06+3291227.21+4574783.61+4534583.58+5023442.73+6770732.27</f>
        <v>53727077.94</v>
      </c>
      <c r="E14" s="4"/>
      <c r="G14" s="172" t="s">
        <v>140</v>
      </c>
      <c r="H14" s="173"/>
      <c r="I14" s="239">
        <f>D$36*100/D14-100</f>
        <v>8339.832102136468</v>
      </c>
    </row>
    <row r="15" spans="3:9" ht="13.5" customHeight="1">
      <c r="C15" s="207">
        <v>1996</v>
      </c>
      <c r="D15" s="103">
        <f>7578344.49+5871894.75+7640633.14+10386759.33+5959570.09+6183726.26+5339910.28+5206070.84+5550418.19+6127739.27+6275144.88+6260589.9</f>
        <v>78380801.41999999</v>
      </c>
      <c r="G15" s="172" t="s">
        <v>141</v>
      </c>
      <c r="H15" s="173"/>
      <c r="I15" s="239">
        <f aca="true" t="shared" si="0" ref="I15:I35">D$36*100/D15-100</f>
        <v>5685.186026897352</v>
      </c>
    </row>
    <row r="16" spans="3:9" ht="13.5" customHeight="1">
      <c r="C16" s="208">
        <v>1997</v>
      </c>
      <c r="D16" s="104">
        <f>7749318.29+6451422.01+6409899.94+6722213.78+7107422.74+7431911.13+6884393.97+8451257.65+8533898.42+8605065.64+9029227.79+9263232.47</f>
        <v>92639263.83000001</v>
      </c>
      <c r="G16" s="172" t="s">
        <v>142</v>
      </c>
      <c r="H16" s="173"/>
      <c r="I16" s="239">
        <f t="shared" si="0"/>
        <v>4794.765981561665</v>
      </c>
    </row>
    <row r="17" spans="3:9" ht="13.5" customHeight="1">
      <c r="C17" s="208">
        <v>1998</v>
      </c>
      <c r="D17" s="104">
        <f>7663047.88+7554889.93+7002162.93+9652844.05+8169274.8+7735126.35+7715241.89+7944791.07+7685717.45+8089417.44+7778488.1+7845939.9</f>
        <v>94836941.78999999</v>
      </c>
      <c r="E17" s="108"/>
      <c r="G17" s="172" t="s">
        <v>143</v>
      </c>
      <c r="H17" s="173"/>
      <c r="I17" s="239">
        <f t="shared" si="0"/>
        <v>4681.338459395719</v>
      </c>
    </row>
    <row r="18" spans="3:9" ht="13.5" customHeight="1">
      <c r="C18" s="208">
        <v>1999</v>
      </c>
      <c r="D18" s="104">
        <f>8217141.36+8335119.34+8011396.59+7028018.72+7180080.07+6705369.05+6729490.81+7664074.69+9548407.41+8322804.23+7935078.29+7494599.67</f>
        <v>93171580.23</v>
      </c>
      <c r="G18" s="172" t="s">
        <v>144</v>
      </c>
      <c r="H18" s="173"/>
      <c r="I18" s="239">
        <f t="shared" si="0"/>
        <v>4766.800756546533</v>
      </c>
    </row>
    <row r="19" spans="3:9" ht="13.5" customHeight="1">
      <c r="C19" s="208">
        <v>2000</v>
      </c>
      <c r="D19" s="104">
        <f>7018708.62+8484261.59+8983140.9+6852789.21+6518520.63+7032572.6+7485113.24+7161222.48+6259123.78+7479750.29+7865169.1+8683408.19</f>
        <v>89823780.63000001</v>
      </c>
      <c r="G19" s="172" t="s">
        <v>145</v>
      </c>
      <c r="H19" s="173"/>
      <c r="I19" s="239">
        <f t="shared" si="0"/>
        <v>4948.190066947085</v>
      </c>
    </row>
    <row r="20" spans="3:9" ht="13.5" customHeight="1">
      <c r="C20" s="208">
        <v>2001</v>
      </c>
      <c r="D20" s="104">
        <f>8207983.93+9802928.93+10626736.46+8311650.33+7625623.47+6973646.45+7946501.74+6387956.95+6020590.48+5405968.89+5127177.83+4055297.81</f>
        <v>86492063.27000001</v>
      </c>
      <c r="G20" s="172" t="s">
        <v>146</v>
      </c>
      <c r="H20" s="173"/>
      <c r="I20" s="239">
        <f t="shared" si="0"/>
        <v>5142.648862896065</v>
      </c>
    </row>
    <row r="21" spans="3:9" ht="13.5" customHeight="1">
      <c r="C21" s="208">
        <v>2002</v>
      </c>
      <c r="D21" s="104">
        <f>4614047.84+5812868.36+5041491.8+3901118.08+6130848.6+5531169.3+5999992.9+4987979.17+4304383.62+7606342.41+6585002.67+6790568.97</f>
        <v>67305813.72</v>
      </c>
      <c r="E21" s="6"/>
      <c r="F21" s="6"/>
      <c r="G21" s="172" t="s">
        <v>147</v>
      </c>
      <c r="H21" s="173"/>
      <c r="I21" s="239">
        <f t="shared" si="0"/>
        <v>6637.122576637947</v>
      </c>
    </row>
    <row r="22" spans="3:9" ht="13.5" customHeight="1">
      <c r="C22" s="208">
        <v>2003</v>
      </c>
      <c r="D22" s="104">
        <f>8138804.88+10619198.48+11099641+8739713.24+7405357.32+7522810.41+8508577.2+8149582.99+8270853.67+7866449.97+8284971.84+8718941.35</f>
        <v>103324902.35</v>
      </c>
      <c r="G22" s="172" t="s">
        <v>148</v>
      </c>
      <c r="H22" s="173"/>
      <c r="I22" s="239">
        <f t="shared" si="0"/>
        <v>4288.55984219568</v>
      </c>
    </row>
    <row r="23" spans="3:9" ht="13.5" customHeight="1">
      <c r="C23" s="209">
        <v>2004</v>
      </c>
      <c r="D23" s="105">
        <f>8397793.96+10578909.79+12304279.67+12815647.99+11675174.48+10205260.47+11598130.23+11044784.68+11476645.51+11209590.67+12330238.4+13703705.86</f>
        <v>137340161.71000004</v>
      </c>
      <c r="G23" s="172" t="s">
        <v>149</v>
      </c>
      <c r="H23" s="173"/>
      <c r="I23" s="239">
        <f t="shared" si="0"/>
        <v>3201.6381479837996</v>
      </c>
    </row>
    <row r="24" spans="3:9" ht="13.5" customHeight="1">
      <c r="C24" s="209">
        <v>2005</v>
      </c>
      <c r="D24" s="105">
        <f>11349701.41+15528304.48+14745838.41+14473929.97+19633797.27+13718919.79+14893024.06+15539304.01+15050808.75+14647291.34+15461250.75+16248475.26</f>
        <v>181290645.49999997</v>
      </c>
      <c r="E24" s="1"/>
      <c r="G24" s="172" t="s">
        <v>150</v>
      </c>
      <c r="H24" s="173"/>
      <c r="I24" s="239">
        <f t="shared" si="0"/>
        <v>2401.218504139532</v>
      </c>
    </row>
    <row r="25" spans="3:9" ht="13.5" customHeight="1">
      <c r="C25" s="348">
        <v>2006</v>
      </c>
      <c r="D25" s="105">
        <f>16525382.86+19837070.81+20844125.78+17361855.57+17855953.22+17666345.39+20061932.82+20017060.37+19902176.57+19543524.11+20023033.33+20295020.33</f>
        <v>229933481.15999997</v>
      </c>
      <c r="G25" s="172" t="s">
        <v>151</v>
      </c>
      <c r="H25" s="173"/>
      <c r="I25" s="239">
        <f t="shared" si="0"/>
        <v>1872.0812944003885</v>
      </c>
    </row>
    <row r="26" spans="3:9" ht="13.5" customHeight="1">
      <c r="C26" s="349">
        <v>2007</v>
      </c>
      <c r="D26" s="106">
        <f>23123779.95+20395563.61+29524329.91+27167317.34+23980300.65+24820055.8+24750514.47+26572716.96+25074284.91+26436954.57+28319011.96+26926062.62</f>
        <v>307090892.75</v>
      </c>
      <c r="G26" s="172" t="s">
        <v>152</v>
      </c>
      <c r="H26" s="173"/>
      <c r="I26" s="239">
        <f t="shared" si="0"/>
        <v>1376.5905725545163</v>
      </c>
    </row>
    <row r="27" spans="3:9" ht="13.5" customHeight="1">
      <c r="C27" s="350">
        <v>2008</v>
      </c>
      <c r="D27" s="107">
        <f>32046396.41+28770836.12+34988334.15+37095733.13+32058798.73+29816048.88+31056897.06+33059176.59+33262564.95+32342341.8+33195666.55+36510582.65</f>
        <v>394203377.02</v>
      </c>
      <c r="G27" s="172" t="s">
        <v>153</v>
      </c>
      <c r="H27" s="173"/>
      <c r="I27" s="239">
        <f t="shared" si="0"/>
        <v>1050.2882613027293</v>
      </c>
    </row>
    <row r="28" spans="3:9" ht="13.5" customHeight="1">
      <c r="C28" s="349">
        <v>2009</v>
      </c>
      <c r="D28" s="107">
        <f>34704890.88+31507623.68+43887419.13+41404621.81+34806892.14+36255366.53+36499215.38+38043290.23+37912102.89+36550575.55+37792448.69+39385548.13</f>
        <v>448749995.03999996</v>
      </c>
      <c r="G28" s="172" t="s">
        <v>154</v>
      </c>
      <c r="H28" s="173"/>
      <c r="I28" s="239">
        <f t="shared" si="0"/>
        <v>910.4680159641704</v>
      </c>
    </row>
    <row r="29" spans="3:9" ht="13.5" customHeight="1">
      <c r="C29" s="350">
        <v>2010</v>
      </c>
      <c r="D29" s="106">
        <f>40717231.17+37559883.57+57361546.15+55147226.8+44515418.79+47302148.8+51166462.03+52909217.41+57040550.11+54965029.36+57815260.69+59844625.61</f>
        <v>616344600.4899999</v>
      </c>
      <c r="G29" s="172" t="s">
        <v>155</v>
      </c>
      <c r="H29" s="173"/>
      <c r="I29" s="239">
        <f t="shared" si="0"/>
        <v>635.7045341056041</v>
      </c>
    </row>
    <row r="30" spans="3:9" ht="13.5" customHeight="1">
      <c r="C30" s="351">
        <v>2011</v>
      </c>
      <c r="D30" s="106">
        <f>63913159.82+61051553.8+79411560.43+74239886.89+71628798.51+69067550.96+71250570.65+77589890.87+77238584.36+78023859.19+78098434.13+79410535.76</f>
        <v>880924385.37</v>
      </c>
      <c r="E30" s="1"/>
      <c r="G30" s="172" t="s">
        <v>156</v>
      </c>
      <c r="H30" s="173"/>
      <c r="I30" s="239">
        <f t="shared" si="0"/>
        <v>414.74056648068165</v>
      </c>
    </row>
    <row r="31" spans="3:9" ht="13.5" customHeight="1">
      <c r="C31" s="352">
        <v>2012</v>
      </c>
      <c r="D31" s="106">
        <f>93053218+83615681.78+107558801.52+84357533.13+92345216.58+89985825.02+99408193.7+103435403.23+96985719.5+100148067.82+110286391.72+104811403.8</f>
        <v>1165991455.8</v>
      </c>
      <c r="E31" s="1"/>
      <c r="G31" s="172" t="s">
        <v>157</v>
      </c>
      <c r="H31" s="173"/>
      <c r="I31" s="239">
        <f t="shared" si="0"/>
        <v>288.89437387933907</v>
      </c>
    </row>
    <row r="32" spans="3:9" ht="13.5" customHeight="1">
      <c r="C32" s="352">
        <v>2013</v>
      </c>
      <c r="D32" s="107">
        <f>135045479.19+123747100.92+148626673.42+128291640.74+130334323.64+134632252.9+140183870.74+163409068.56+138404191.8+133917047.47+136031477.38+136102559.74</f>
        <v>1648725686.4999998</v>
      </c>
      <c r="G32" s="172" t="s">
        <v>158</v>
      </c>
      <c r="H32" s="173"/>
      <c r="I32" s="239">
        <f t="shared" si="0"/>
        <v>175.02908510790655</v>
      </c>
    </row>
    <row r="33" spans="3:9" ht="13.5" customHeight="1">
      <c r="C33" s="352">
        <v>2014</v>
      </c>
      <c r="D33" s="107">
        <f>173682104.19+170691871.24+175434104.43+149076186.08+155378235.94+155564931.05+167455870.08+186573977.13+171676418.88+178411000.19+183802698.44+181247757.63</f>
        <v>2048995155.2800002</v>
      </c>
      <c r="G33" s="172" t="s">
        <v>159</v>
      </c>
      <c r="H33" s="173"/>
      <c r="I33" s="239">
        <f t="shared" si="0"/>
        <v>121.30238618843163</v>
      </c>
    </row>
    <row r="34" spans="3:9" ht="13.5" customHeight="1">
      <c r="C34" s="352">
        <v>2015</v>
      </c>
      <c r="D34" s="106">
        <f>205440886.08+215298311.63+253722016.01+209244928.51+212803545.2+207394303.24+220610391.59+214534199.12+214924343.78+212522494.07+219945235.21+219760284.61</f>
        <v>2606200939.05</v>
      </c>
      <c r="E34" s="81"/>
      <c r="G34" s="172" t="s">
        <v>160</v>
      </c>
      <c r="H34" s="173"/>
      <c r="I34" s="239">
        <f t="shared" si="0"/>
        <v>73.98793406823364</v>
      </c>
    </row>
    <row r="35" spans="3:9" ht="15" customHeight="1" thickBot="1">
      <c r="C35" s="353">
        <v>2016</v>
      </c>
      <c r="D35" s="371">
        <f>234991355.67+271235321.48+311997247.71+258649173.44+252446062.86+244867727.49+280794807.1+304751596.35+287396434.56+279068116.17+294087388.66+304471908.44</f>
        <v>3324757139.93</v>
      </c>
      <c r="G35" s="172" t="s">
        <v>161</v>
      </c>
      <c r="H35" s="173"/>
      <c r="I35" s="255">
        <f t="shared" si="0"/>
        <v>36.38515478503402</v>
      </c>
    </row>
    <row r="36" spans="3:9" ht="12.75" customHeight="1" thickBot="1" thickTop="1">
      <c r="C36" s="354">
        <v>2017</v>
      </c>
      <c r="D36" s="372">
        <f>326058273.9+326748404.93+402724864.42+431096195.16+337035197.96+347040141.89+367932365.95+377368836.86+397273064.88+406799420.65+406812727.1+407585677.82</f>
        <v>4534475171.52</v>
      </c>
      <c r="G36" s="355" t="s">
        <v>162</v>
      </c>
      <c r="H36" s="356"/>
      <c r="I36" s="357" t="s">
        <v>30</v>
      </c>
    </row>
    <row r="47" ht="13.5" customHeight="1"/>
    <row r="51" ht="12.75">
      <c r="B51" t="s">
        <v>55</v>
      </c>
    </row>
  </sheetData>
  <mergeCells count="3">
    <mergeCell ref="G12:H12"/>
    <mergeCell ref="D8:I8"/>
    <mergeCell ref="D10:I10"/>
  </mergeCells>
  <printOptions/>
  <pageMargins left="0.984251968503937" right="0" top="0.3937007874015748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E89"/>
  <sheetViews>
    <sheetView workbookViewId="0" topLeftCell="G64">
      <selection activeCell="N39" sqref="N39"/>
    </sheetView>
  </sheetViews>
  <sheetFormatPr defaultColWidth="11.421875" defaultRowHeight="12.75"/>
  <cols>
    <col min="2" max="2" width="10.00390625" style="0" customWidth="1"/>
    <col min="3" max="5" width="15.7109375" style="0" customWidth="1"/>
    <col min="6" max="6" width="14.00390625" style="0" customWidth="1"/>
    <col min="7" max="7" width="13.8515625" style="0" customWidth="1"/>
    <col min="8" max="8" width="10.00390625" style="0" customWidth="1"/>
    <col min="9" max="9" width="15.28125" style="0" customWidth="1"/>
    <col min="10" max="10" width="16.421875" style="0" customWidth="1"/>
    <col min="11" max="11" width="16.140625" style="0" customWidth="1"/>
    <col min="12" max="12" width="15.7109375" style="0" customWidth="1"/>
    <col min="13" max="13" width="13.7109375" style="0" customWidth="1"/>
    <col min="14" max="14" width="10.00390625" style="0" customWidth="1"/>
    <col min="15" max="15" width="13.421875" style="0" customWidth="1"/>
    <col min="16" max="16" width="5.7109375" style="0" customWidth="1"/>
    <col min="17" max="17" width="13.421875" style="0" customWidth="1"/>
    <col min="18" max="18" width="5.7109375" style="0" customWidth="1"/>
    <col min="19" max="19" width="13.28125" style="0" customWidth="1"/>
    <col min="20" max="20" width="3.421875" style="0" customWidth="1"/>
    <col min="21" max="21" width="10.00390625" style="0" customWidth="1"/>
    <col min="22" max="22" width="13.421875" style="0" customWidth="1"/>
    <col min="23" max="23" width="4.7109375" style="0" customWidth="1"/>
    <col min="24" max="24" width="13.421875" style="0" customWidth="1"/>
    <col min="25" max="25" width="4.7109375" style="0" customWidth="1"/>
    <col min="26" max="26" width="13.28125" style="0" customWidth="1"/>
    <col min="27" max="27" width="3.28125" style="0" customWidth="1"/>
    <col min="28" max="28" width="13.140625" style="0" customWidth="1"/>
    <col min="29" max="29" width="6.7109375" style="0" customWidth="1"/>
    <col min="30" max="30" width="13.140625" style="0" customWidth="1"/>
    <col min="31" max="31" width="6.7109375" style="0" customWidth="1"/>
  </cols>
  <sheetData>
    <row r="3" spans="5:9" ht="12.75">
      <c r="E3" s="1"/>
      <c r="I3" s="1"/>
    </row>
    <row r="4" spans="5:9" ht="12.75">
      <c r="E4" s="1"/>
      <c r="I4" s="1"/>
    </row>
    <row r="5" spans="5:9" ht="12.75">
      <c r="E5" s="1"/>
      <c r="F5" s="1"/>
      <c r="G5" s="1"/>
      <c r="H5" s="1"/>
      <c r="I5" s="1"/>
    </row>
    <row r="6" spans="3:9" ht="13.5" thickBot="1">
      <c r="C6" s="1"/>
      <c r="D6" s="1"/>
      <c r="E6" s="1"/>
      <c r="F6" s="1"/>
      <c r="G6" s="1"/>
      <c r="H6" s="1"/>
      <c r="I6" s="1"/>
    </row>
    <row r="7" spans="2:10" ht="21" thickBot="1">
      <c r="B7" s="2"/>
      <c r="C7" s="1"/>
      <c r="D7" s="1"/>
      <c r="E7" s="423" t="s">
        <v>99</v>
      </c>
      <c r="F7" s="424"/>
      <c r="G7" s="424"/>
      <c r="H7" s="424"/>
      <c r="I7" s="424"/>
      <c r="J7" s="425"/>
    </row>
    <row r="8" spans="2:9" ht="13.5" thickBot="1">
      <c r="B8" s="358" t="s">
        <v>0</v>
      </c>
      <c r="C8" s="359"/>
      <c r="D8" s="359"/>
      <c r="E8" s="360"/>
      <c r="H8" s="1"/>
      <c r="I8" s="1"/>
    </row>
    <row r="9" spans="2:22" ht="18" thickBot="1">
      <c r="B9" s="275"/>
      <c r="C9" s="1"/>
      <c r="D9" s="1"/>
      <c r="H9" s="1"/>
      <c r="I9" s="1"/>
      <c r="O9" s="427" t="s">
        <v>69</v>
      </c>
      <c r="P9" s="427"/>
      <c r="Q9" s="427"/>
      <c r="R9" s="427"/>
      <c r="S9" s="427"/>
      <c r="T9" s="427"/>
      <c r="U9" s="427"/>
      <c r="V9" s="427"/>
    </row>
    <row r="10" spans="2:12" ht="13.5" thickTop="1">
      <c r="B10" s="276">
        <v>2017</v>
      </c>
      <c r="C10" s="40" t="s">
        <v>58</v>
      </c>
      <c r="D10" s="41" t="s">
        <v>3</v>
      </c>
      <c r="E10" s="41" t="s">
        <v>4</v>
      </c>
      <c r="F10" s="41" t="s">
        <v>5</v>
      </c>
      <c r="G10" s="41" t="s">
        <v>59</v>
      </c>
      <c r="H10" s="41" t="s">
        <v>60</v>
      </c>
      <c r="I10" s="41" t="s">
        <v>48</v>
      </c>
      <c r="J10" s="42"/>
      <c r="K10" s="40" t="s">
        <v>61</v>
      </c>
      <c r="L10" s="43"/>
    </row>
    <row r="11" spans="2:22" ht="15.75" thickBot="1">
      <c r="B11" s="277" t="s">
        <v>1</v>
      </c>
      <c r="C11" s="45" t="s">
        <v>62</v>
      </c>
      <c r="D11" s="46"/>
      <c r="E11" s="46"/>
      <c r="F11" s="46"/>
      <c r="G11" s="46" t="s">
        <v>63</v>
      </c>
      <c r="H11" s="46" t="s">
        <v>64</v>
      </c>
      <c r="I11" s="47" t="s">
        <v>65</v>
      </c>
      <c r="J11" s="45" t="s">
        <v>66</v>
      </c>
      <c r="K11" s="45" t="s">
        <v>58</v>
      </c>
      <c r="L11" s="48" t="s">
        <v>7</v>
      </c>
      <c r="O11" s="428" t="s">
        <v>106</v>
      </c>
      <c r="P11" s="428"/>
      <c r="Q11" s="428"/>
      <c r="R11" s="428"/>
      <c r="S11" s="428"/>
      <c r="T11" s="428"/>
      <c r="U11" s="428"/>
      <c r="V11" s="428"/>
    </row>
    <row r="12" spans="2:12" ht="14.25" customHeight="1" thickTop="1">
      <c r="B12" s="123" t="s">
        <v>77</v>
      </c>
      <c r="C12" s="174">
        <v>224105396.47</v>
      </c>
      <c r="D12" s="175">
        <v>11801792.16</v>
      </c>
      <c r="E12" s="175">
        <v>14956508.03</v>
      </c>
      <c r="F12" s="175">
        <v>30061741.32</v>
      </c>
      <c r="G12" s="175">
        <v>5863320.48</v>
      </c>
      <c r="H12" s="175">
        <v>0</v>
      </c>
      <c r="I12" s="176">
        <v>106378.69</v>
      </c>
      <c r="J12" s="177">
        <f aca="true" t="shared" si="0" ref="J12:J23">SUM(C12:I12)</f>
        <v>286895137.15000004</v>
      </c>
      <c r="K12" s="174">
        <v>39163136.75</v>
      </c>
      <c r="L12" s="178">
        <f aca="true" t="shared" si="1" ref="L12:L23">SUM(J12:K12)</f>
        <v>326058273.90000004</v>
      </c>
    </row>
    <row r="13" spans="2:22" ht="14.25" customHeight="1">
      <c r="B13" s="124" t="s">
        <v>75</v>
      </c>
      <c r="C13" s="179">
        <v>197606168.6</v>
      </c>
      <c r="D13" s="102">
        <v>48893322.66</v>
      </c>
      <c r="E13" s="102">
        <v>13081447.71</v>
      </c>
      <c r="F13" s="102">
        <v>26767462.06</v>
      </c>
      <c r="G13" s="102">
        <v>5179232.7</v>
      </c>
      <c r="H13" s="102">
        <v>0</v>
      </c>
      <c r="I13" s="180">
        <v>39435.2</v>
      </c>
      <c r="J13" s="181">
        <f t="shared" si="0"/>
        <v>291567068.92999995</v>
      </c>
      <c r="K13" s="179">
        <v>35181336</v>
      </c>
      <c r="L13" s="182">
        <f t="shared" si="1"/>
        <v>326748404.92999995</v>
      </c>
      <c r="O13" s="429" t="s">
        <v>70</v>
      </c>
      <c r="P13" s="429"/>
      <c r="Q13" s="429"/>
      <c r="R13" s="429"/>
      <c r="S13" s="429"/>
      <c r="T13" s="429"/>
      <c r="U13" s="429"/>
      <c r="V13" s="429"/>
    </row>
    <row r="14" spans="2:12" ht="14.25" customHeight="1">
      <c r="B14" s="124" t="s">
        <v>78</v>
      </c>
      <c r="C14" s="179">
        <v>200249616.73</v>
      </c>
      <c r="D14" s="102">
        <v>54780583.69</v>
      </c>
      <c r="E14" s="102">
        <v>66208115.78</v>
      </c>
      <c r="F14" s="102">
        <v>32452687.03</v>
      </c>
      <c r="G14" s="102">
        <v>6182665.79</v>
      </c>
      <c r="H14" s="102">
        <v>0</v>
      </c>
      <c r="I14" s="180">
        <v>15273.2</v>
      </c>
      <c r="J14" s="181">
        <f t="shared" si="0"/>
        <v>359888942.22</v>
      </c>
      <c r="K14" s="179">
        <v>42835922.2</v>
      </c>
      <c r="L14" s="182">
        <f t="shared" si="1"/>
        <v>402724864.42</v>
      </c>
    </row>
    <row r="15" spans="2:12" ht="14.25" customHeight="1">
      <c r="B15" s="124" t="s">
        <v>79</v>
      </c>
      <c r="C15" s="179">
        <v>229903091.18</v>
      </c>
      <c r="D15" s="102">
        <v>19332383.66</v>
      </c>
      <c r="E15" s="102">
        <v>95769125.46</v>
      </c>
      <c r="F15" s="102">
        <v>30130796.07</v>
      </c>
      <c r="G15" s="102">
        <v>5856316.13</v>
      </c>
      <c r="H15" s="102">
        <v>0</v>
      </c>
      <c r="I15" s="180">
        <v>203439.45</v>
      </c>
      <c r="J15" s="181">
        <f t="shared" si="0"/>
        <v>381195151.95</v>
      </c>
      <c r="K15" s="179">
        <v>49901043.21</v>
      </c>
      <c r="L15" s="182">
        <f t="shared" si="1"/>
        <v>431096195.15999997</v>
      </c>
    </row>
    <row r="16" spans="2:12" ht="14.25" customHeight="1">
      <c r="B16" s="124" t="s">
        <v>80</v>
      </c>
      <c r="C16" s="179">
        <v>228203116.35</v>
      </c>
      <c r="D16" s="102">
        <v>11997431.81</v>
      </c>
      <c r="E16" s="102">
        <v>24852142.7</v>
      </c>
      <c r="F16" s="102">
        <v>26620045.65</v>
      </c>
      <c r="G16" s="102">
        <v>5199035.71</v>
      </c>
      <c r="H16" s="102">
        <v>0</v>
      </c>
      <c r="I16" s="180">
        <v>70245.32</v>
      </c>
      <c r="J16" s="181">
        <f t="shared" si="0"/>
        <v>296942017.53999996</v>
      </c>
      <c r="K16" s="179">
        <v>40093180.42</v>
      </c>
      <c r="L16" s="182">
        <f t="shared" si="1"/>
        <v>337035197.96</v>
      </c>
    </row>
    <row r="17" spans="2:26" ht="14.25" customHeight="1">
      <c r="B17" s="124" t="s">
        <v>81</v>
      </c>
      <c r="C17" s="179">
        <v>227709641.59</v>
      </c>
      <c r="D17" s="102">
        <v>15436304.48</v>
      </c>
      <c r="E17" s="102">
        <v>25932926.68</v>
      </c>
      <c r="F17" s="102">
        <v>29912593.7</v>
      </c>
      <c r="G17" s="102">
        <v>5721282</v>
      </c>
      <c r="H17" s="102">
        <v>0</v>
      </c>
      <c r="I17" s="180">
        <v>599944.19</v>
      </c>
      <c r="J17" s="181">
        <f t="shared" si="0"/>
        <v>305312692.64</v>
      </c>
      <c r="K17" s="179">
        <v>41727449.25</v>
      </c>
      <c r="L17" s="182">
        <f t="shared" si="1"/>
        <v>347040141.89</v>
      </c>
      <c r="Z17" t="s">
        <v>71</v>
      </c>
    </row>
    <row r="18" spans="2:12" ht="14.25" customHeight="1">
      <c r="B18" s="124" t="s">
        <v>82</v>
      </c>
      <c r="C18" s="179">
        <v>238932469.13</v>
      </c>
      <c r="D18" s="102">
        <v>16957615.42</v>
      </c>
      <c r="E18" s="102">
        <v>28346249.88</v>
      </c>
      <c r="F18" s="102">
        <v>33837296.93</v>
      </c>
      <c r="G18" s="102">
        <v>6640396.54</v>
      </c>
      <c r="H18" s="102">
        <v>0</v>
      </c>
      <c r="I18" s="180">
        <v>70018.68</v>
      </c>
      <c r="J18" s="181">
        <f t="shared" si="0"/>
        <v>324784046.58000004</v>
      </c>
      <c r="K18" s="179">
        <v>43148319.37</v>
      </c>
      <c r="L18" s="182">
        <f t="shared" si="1"/>
        <v>367932365.95000005</v>
      </c>
    </row>
    <row r="19" spans="2:29" ht="14.25" customHeight="1" thickBot="1">
      <c r="B19" s="124" t="s">
        <v>83</v>
      </c>
      <c r="C19" s="179">
        <v>244343637.21</v>
      </c>
      <c r="D19" s="102">
        <v>14293265.59</v>
      </c>
      <c r="E19" s="102">
        <v>35030355.09</v>
      </c>
      <c r="F19" s="102">
        <v>32595441.76</v>
      </c>
      <c r="G19" s="102">
        <v>6314334.38</v>
      </c>
      <c r="H19" s="102">
        <v>0</v>
      </c>
      <c r="I19" s="180">
        <v>72953.24</v>
      </c>
      <c r="J19" s="181">
        <f t="shared" si="0"/>
        <v>332649987.27</v>
      </c>
      <c r="K19" s="179">
        <v>44718849.59</v>
      </c>
      <c r="L19" s="182">
        <f t="shared" si="1"/>
        <v>377368836.86</v>
      </c>
      <c r="N19" s="430"/>
      <c r="O19" s="430"/>
      <c r="P19" s="430"/>
      <c r="Q19" s="430"/>
      <c r="R19" s="8"/>
      <c r="V19" s="8"/>
      <c r="W19" s="8"/>
      <c r="X19" s="8"/>
      <c r="Y19" s="8"/>
      <c r="AB19" s="8"/>
      <c r="AC19" s="8"/>
    </row>
    <row r="20" spans="2:31" ht="14.25" customHeight="1" thickBot="1" thickTop="1">
      <c r="B20" s="124" t="s">
        <v>84</v>
      </c>
      <c r="C20" s="179">
        <v>260731148.62</v>
      </c>
      <c r="D20" s="102">
        <v>13230919.17</v>
      </c>
      <c r="E20" s="102">
        <v>35822760.48</v>
      </c>
      <c r="F20" s="102">
        <v>33894580.93</v>
      </c>
      <c r="G20" s="102">
        <v>6614011.71</v>
      </c>
      <c r="H20" s="102">
        <v>0</v>
      </c>
      <c r="I20" s="180">
        <v>58155.85</v>
      </c>
      <c r="J20" s="181">
        <f t="shared" si="0"/>
        <v>350351576.76000005</v>
      </c>
      <c r="K20" s="179">
        <v>46921488.12</v>
      </c>
      <c r="L20" s="182">
        <f t="shared" si="1"/>
        <v>397273064.88000005</v>
      </c>
      <c r="N20" s="426">
        <v>2016</v>
      </c>
      <c r="O20" s="426"/>
      <c r="P20" s="426"/>
      <c r="Q20" s="426"/>
      <c r="R20" s="426"/>
      <c r="S20" s="426"/>
      <c r="U20" s="426">
        <v>2017</v>
      </c>
      <c r="V20" s="426"/>
      <c r="W20" s="426"/>
      <c r="X20" s="426"/>
      <c r="Y20" s="426"/>
      <c r="Z20" s="426"/>
      <c r="AB20" s="420" t="s">
        <v>102</v>
      </c>
      <c r="AC20" s="421"/>
      <c r="AD20" s="421"/>
      <c r="AE20" s="422"/>
    </row>
    <row r="21" spans="2:26" ht="14.25" customHeight="1" thickBot="1" thickTop="1">
      <c r="B21" s="124" t="s">
        <v>85</v>
      </c>
      <c r="C21" s="179">
        <v>263966084.06</v>
      </c>
      <c r="D21" s="102">
        <v>19194041.5</v>
      </c>
      <c r="E21" s="102">
        <v>36653735.84</v>
      </c>
      <c r="F21" s="102">
        <v>32604562.06</v>
      </c>
      <c r="G21" s="102">
        <v>6353627.25</v>
      </c>
      <c r="H21" s="102">
        <v>0</v>
      </c>
      <c r="I21" s="180">
        <v>315260.08</v>
      </c>
      <c r="J21" s="181">
        <f t="shared" si="0"/>
        <v>359087310.78999996</v>
      </c>
      <c r="K21" s="179">
        <v>47712109.86</v>
      </c>
      <c r="L21" s="182">
        <f t="shared" si="1"/>
        <v>406799420.65</v>
      </c>
      <c r="N21" s="280"/>
      <c r="O21" s="57"/>
      <c r="P21" s="56"/>
      <c r="Q21" s="57"/>
      <c r="R21" s="56"/>
      <c r="S21" s="57"/>
      <c r="U21" s="56"/>
      <c r="V21" s="57"/>
      <c r="W21" s="56"/>
      <c r="X21" s="57"/>
      <c r="Y21" s="56"/>
      <c r="Z21" s="57"/>
    </row>
    <row r="22" spans="2:31" ht="14.25" customHeight="1" thickBot="1" thickTop="1">
      <c r="B22" s="124" t="s">
        <v>86</v>
      </c>
      <c r="C22" s="179">
        <v>268084989.14</v>
      </c>
      <c r="D22" s="102">
        <v>15265240.12</v>
      </c>
      <c r="E22" s="102">
        <v>30963029.24</v>
      </c>
      <c r="F22" s="102">
        <v>36711721.01</v>
      </c>
      <c r="G22" s="102">
        <v>7045632.9</v>
      </c>
      <c r="H22" s="102">
        <v>0</v>
      </c>
      <c r="I22" s="180">
        <v>192652.99</v>
      </c>
      <c r="J22" s="181">
        <f t="shared" si="0"/>
        <v>358263265.4</v>
      </c>
      <c r="K22" s="179">
        <v>48549461.7</v>
      </c>
      <c r="L22" s="182">
        <f t="shared" si="1"/>
        <v>406812727.09999996</v>
      </c>
      <c r="N22" s="281" t="s">
        <v>1</v>
      </c>
      <c r="O22" s="59" t="s">
        <v>72</v>
      </c>
      <c r="P22" s="60" t="s">
        <v>20</v>
      </c>
      <c r="Q22" s="224" t="s">
        <v>68</v>
      </c>
      <c r="R22" s="60" t="s">
        <v>20</v>
      </c>
      <c r="S22" s="61" t="s">
        <v>7</v>
      </c>
      <c r="U22" s="58" t="s">
        <v>1</v>
      </c>
      <c r="V22" s="59" t="s">
        <v>72</v>
      </c>
      <c r="W22" s="60" t="s">
        <v>20</v>
      </c>
      <c r="X22" s="224" t="s">
        <v>68</v>
      </c>
      <c r="Y22" s="60" t="s">
        <v>20</v>
      </c>
      <c r="Z22" s="61" t="s">
        <v>7</v>
      </c>
      <c r="AA22" s="28"/>
      <c r="AB22" s="59" t="s">
        <v>72</v>
      </c>
      <c r="AC22" s="60" t="s">
        <v>20</v>
      </c>
      <c r="AD22" s="224" t="s">
        <v>68</v>
      </c>
      <c r="AE22" s="89" t="s">
        <v>20</v>
      </c>
    </row>
    <row r="23" spans="2:31" ht="14.25" customHeight="1" thickBot="1" thickTop="1">
      <c r="B23" s="125" t="s">
        <v>87</v>
      </c>
      <c r="C23" s="183">
        <v>273242674.62</v>
      </c>
      <c r="D23" s="184">
        <v>13055221.52</v>
      </c>
      <c r="E23" s="184">
        <v>31681652.01</v>
      </c>
      <c r="F23" s="184">
        <v>33640090.23</v>
      </c>
      <c r="G23" s="184">
        <v>6541118.83</v>
      </c>
      <c r="H23" s="184">
        <v>0</v>
      </c>
      <c r="I23" s="185">
        <v>73357.89</v>
      </c>
      <c r="J23" s="186">
        <f t="shared" si="0"/>
        <v>358234115.09999996</v>
      </c>
      <c r="K23" s="183">
        <v>49351562.72</v>
      </c>
      <c r="L23" s="182">
        <f t="shared" si="1"/>
        <v>407585677.81999993</v>
      </c>
      <c r="N23" s="218" t="s">
        <v>77</v>
      </c>
      <c r="O23" s="83">
        <v>50828117.97</v>
      </c>
      <c r="P23" s="62">
        <f aca="true" t="shared" si="2" ref="P23:P34">O23*100/S23</f>
        <v>29.98022816622176</v>
      </c>
      <c r="Q23" s="83">
        <v>118710678.36</v>
      </c>
      <c r="R23" s="62">
        <f aca="true" t="shared" si="3" ref="R23:R34">Q23*100/S23</f>
        <v>70.01977183377825</v>
      </c>
      <c r="S23" s="63">
        <f aca="true" t="shared" si="4" ref="S23:S34">O23+Q23</f>
        <v>169538796.32999998</v>
      </c>
      <c r="U23" s="221" t="s">
        <v>77</v>
      </c>
      <c r="V23" s="83">
        <v>68476861.57</v>
      </c>
      <c r="W23" s="130">
        <f aca="true" t="shared" si="5" ref="W23:W34">V23*100/Z23</f>
        <v>30.555650443324637</v>
      </c>
      <c r="X23" s="83">
        <v>155628534.9</v>
      </c>
      <c r="Y23" s="130">
        <f aca="true" t="shared" si="6" ref="Y23:Y34">X23*100/Z23</f>
        <v>69.44434955667536</v>
      </c>
      <c r="Z23" s="63">
        <f aca="true" t="shared" si="7" ref="Z23:Z34">V23+X23</f>
        <v>224105396.47</v>
      </c>
      <c r="AB23" s="90">
        <f aca="true" t="shared" si="8" ref="AB23:AB34">+V23-O23</f>
        <v>17648743.599999994</v>
      </c>
      <c r="AC23" s="269">
        <f aca="true" t="shared" si="9" ref="AC23:AC34">+V23*100/O23-100</f>
        <v>34.72240229397576</v>
      </c>
      <c r="AD23" s="64">
        <f aca="true" t="shared" si="10" ref="AD23:AD34">X23-Q23</f>
        <v>36917856.54000001</v>
      </c>
      <c r="AE23" s="270">
        <f aca="true" t="shared" si="11" ref="AE23:AE34">+X23*100/Q23-100</f>
        <v>31.099019102597936</v>
      </c>
    </row>
    <row r="24" spans="2:31" ht="14.25" customHeight="1" thickBot="1" thickTop="1">
      <c r="B24" s="49" t="s">
        <v>7</v>
      </c>
      <c r="C24" s="148">
        <f aca="true" t="shared" si="12" ref="C24:K24">SUM(C12:C23)</f>
        <v>2857078033.6999993</v>
      </c>
      <c r="D24" s="148">
        <f t="shared" si="12"/>
        <v>254238121.78</v>
      </c>
      <c r="E24" s="148">
        <f t="shared" si="12"/>
        <v>439298048.9000001</v>
      </c>
      <c r="F24" s="148">
        <f t="shared" si="12"/>
        <v>379229018.75</v>
      </c>
      <c r="G24" s="148">
        <f t="shared" si="12"/>
        <v>73510974.42</v>
      </c>
      <c r="H24" s="148">
        <f t="shared" si="12"/>
        <v>0</v>
      </c>
      <c r="I24" s="148">
        <f t="shared" si="12"/>
        <v>1817114.78</v>
      </c>
      <c r="J24" s="148">
        <f t="shared" si="12"/>
        <v>4005171312.33</v>
      </c>
      <c r="K24" s="148">
        <f t="shared" si="12"/>
        <v>529303859.18999994</v>
      </c>
      <c r="L24" s="187">
        <f>SUM(J24:K24)</f>
        <v>4534475171.5199995</v>
      </c>
      <c r="N24" s="219" t="s">
        <v>75</v>
      </c>
      <c r="O24" s="65">
        <v>38200801.87</v>
      </c>
      <c r="P24" s="62">
        <f t="shared" si="2"/>
        <v>26.37728378284375</v>
      </c>
      <c r="Q24" s="65">
        <v>106623821.41</v>
      </c>
      <c r="R24" s="62">
        <f t="shared" si="3"/>
        <v>73.62271621715624</v>
      </c>
      <c r="S24" s="67">
        <f t="shared" si="4"/>
        <v>144824623.28</v>
      </c>
      <c r="U24" s="222" t="s">
        <v>75</v>
      </c>
      <c r="V24" s="264">
        <v>58964595.9</v>
      </c>
      <c r="W24" s="130">
        <f t="shared" si="5"/>
        <v>29.83945102410128</v>
      </c>
      <c r="X24" s="266">
        <v>138641572.7</v>
      </c>
      <c r="Y24" s="130">
        <f t="shared" si="6"/>
        <v>70.16054897589872</v>
      </c>
      <c r="Z24" s="67">
        <f t="shared" si="7"/>
        <v>197606168.6</v>
      </c>
      <c r="AB24" s="91">
        <f t="shared" si="8"/>
        <v>20763794.03</v>
      </c>
      <c r="AC24" s="271">
        <f t="shared" si="9"/>
        <v>54.354340782323476</v>
      </c>
      <c r="AD24" s="68">
        <f t="shared" si="10"/>
        <v>32017751.28999999</v>
      </c>
      <c r="AE24" s="272">
        <f t="shared" si="11"/>
        <v>30.028703592307295</v>
      </c>
    </row>
    <row r="25" spans="2:31" ht="13.5" customHeight="1" thickTop="1">
      <c r="B25" s="9" t="s">
        <v>20</v>
      </c>
      <c r="C25" s="145">
        <f aca="true" t="shared" si="13" ref="C25:I25">C24*100/$L24</f>
        <v>63.00790997036774</v>
      </c>
      <c r="D25" s="145">
        <f t="shared" si="13"/>
        <v>5.606781648663807</v>
      </c>
      <c r="E25" s="145">
        <f t="shared" si="13"/>
        <v>9.68795797271381</v>
      </c>
      <c r="F25" s="145">
        <f t="shared" si="13"/>
        <v>8.3632395019351</v>
      </c>
      <c r="G25" s="145">
        <f t="shared" si="13"/>
        <v>1.621157281480018</v>
      </c>
      <c r="H25" s="145">
        <f t="shared" si="13"/>
        <v>0</v>
      </c>
      <c r="I25" s="145">
        <f t="shared" si="13"/>
        <v>0.040073320754138914</v>
      </c>
      <c r="J25" s="50"/>
      <c r="K25" s="145">
        <f>K24*100/$L24</f>
        <v>11.672880304085384</v>
      </c>
      <c r="L25" s="51">
        <f>L24*100/$L24</f>
        <v>100</v>
      </c>
      <c r="N25" s="219" t="s">
        <v>78</v>
      </c>
      <c r="O25" s="65">
        <v>41360475.5</v>
      </c>
      <c r="P25" s="62">
        <f t="shared" si="2"/>
        <v>26.93829448943564</v>
      </c>
      <c r="Q25" s="65">
        <v>112177364.53</v>
      </c>
      <c r="R25" s="62">
        <f t="shared" si="3"/>
        <v>73.06170551056435</v>
      </c>
      <c r="S25" s="67">
        <f t="shared" si="4"/>
        <v>153537840.03</v>
      </c>
      <c r="U25" s="222" t="s">
        <v>78</v>
      </c>
      <c r="V25" s="264">
        <v>68028683.84</v>
      </c>
      <c r="W25" s="130">
        <f t="shared" si="5"/>
        <v>33.97194209451309</v>
      </c>
      <c r="X25" s="266">
        <v>132220932.89</v>
      </c>
      <c r="Y25" s="130">
        <f t="shared" si="6"/>
        <v>66.0280579054869</v>
      </c>
      <c r="Z25" s="67">
        <f t="shared" si="7"/>
        <v>200249616.73000002</v>
      </c>
      <c r="AB25" s="91">
        <f t="shared" si="8"/>
        <v>26668208.340000004</v>
      </c>
      <c r="AC25" s="271">
        <f t="shared" si="9"/>
        <v>64.47751873645649</v>
      </c>
      <c r="AD25" s="68">
        <f t="shared" si="10"/>
        <v>20043568.36</v>
      </c>
      <c r="AE25" s="272">
        <f t="shared" si="11"/>
        <v>17.867747601290517</v>
      </c>
    </row>
    <row r="26" spans="2:31" ht="14.25" customHeight="1" thickBot="1">
      <c r="B26" s="52"/>
      <c r="N26" s="219" t="s">
        <v>79</v>
      </c>
      <c r="O26" s="65">
        <v>52125462.72</v>
      </c>
      <c r="P26" s="62">
        <f t="shared" si="2"/>
        <v>30.753896358409563</v>
      </c>
      <c r="Q26" s="65">
        <v>117366760.68</v>
      </c>
      <c r="R26" s="62">
        <f t="shared" si="3"/>
        <v>69.24610364159044</v>
      </c>
      <c r="S26" s="67">
        <f t="shared" si="4"/>
        <v>169492223.4</v>
      </c>
      <c r="U26" s="222" t="s">
        <v>79</v>
      </c>
      <c r="V26" s="264">
        <v>78506950.76</v>
      </c>
      <c r="W26" s="130">
        <f t="shared" si="5"/>
        <v>34.14784479715146</v>
      </c>
      <c r="X26" s="266">
        <v>151396140.42</v>
      </c>
      <c r="Y26" s="130">
        <f t="shared" si="6"/>
        <v>65.85215520284854</v>
      </c>
      <c r="Z26" s="67">
        <f t="shared" si="7"/>
        <v>229903091.18</v>
      </c>
      <c r="AB26" s="91">
        <f t="shared" si="8"/>
        <v>26381488.040000007</v>
      </c>
      <c r="AC26" s="271">
        <f t="shared" si="9"/>
        <v>50.611518178192995</v>
      </c>
      <c r="AD26" s="68">
        <f t="shared" si="10"/>
        <v>34029379.73999998</v>
      </c>
      <c r="AE26" s="272">
        <f t="shared" si="11"/>
        <v>28.994052100305424</v>
      </c>
    </row>
    <row r="27" spans="2:31" ht="14.25" customHeight="1" thickBot="1" thickTop="1">
      <c r="B27" s="232" t="s">
        <v>41</v>
      </c>
      <c r="C27" s="362">
        <f>C24/12</f>
        <v>238089836.14166662</v>
      </c>
      <c r="D27" s="362">
        <f aca="true" t="shared" si="14" ref="D27:I27">D24/12</f>
        <v>21186510.148333333</v>
      </c>
      <c r="E27" s="362">
        <f t="shared" si="14"/>
        <v>36608170.741666675</v>
      </c>
      <c r="F27" s="362">
        <f t="shared" si="14"/>
        <v>31602418.229166668</v>
      </c>
      <c r="G27" s="362">
        <f t="shared" si="14"/>
        <v>6125914.535</v>
      </c>
      <c r="H27" s="362">
        <f t="shared" si="14"/>
        <v>0</v>
      </c>
      <c r="I27" s="362">
        <f t="shared" si="14"/>
        <v>151426.23166666666</v>
      </c>
      <c r="J27" s="254">
        <f>J24/12</f>
        <v>333764276.0275</v>
      </c>
      <c r="K27" s="361">
        <f>K24/12</f>
        <v>44108654.9325</v>
      </c>
      <c r="L27" s="256">
        <f>L24/12</f>
        <v>377872930.96</v>
      </c>
      <c r="N27" s="219" t="s">
        <v>80</v>
      </c>
      <c r="O27" s="65">
        <v>49057779.39</v>
      </c>
      <c r="P27" s="66">
        <f t="shared" si="2"/>
        <v>29.435249813790097</v>
      </c>
      <c r="Q27" s="65">
        <v>117605590.89</v>
      </c>
      <c r="R27" s="66">
        <f t="shared" si="3"/>
        <v>70.5647501862099</v>
      </c>
      <c r="S27" s="67">
        <f t="shared" si="4"/>
        <v>166663370.28</v>
      </c>
      <c r="U27" s="222" t="s">
        <v>80</v>
      </c>
      <c r="V27" s="264">
        <v>74498846.2</v>
      </c>
      <c r="W27" s="265">
        <f t="shared" si="5"/>
        <v>32.645849623604406</v>
      </c>
      <c r="X27" s="266">
        <v>153704270.15</v>
      </c>
      <c r="Y27" s="265">
        <f t="shared" si="6"/>
        <v>67.35415037639558</v>
      </c>
      <c r="Z27" s="267">
        <f t="shared" si="7"/>
        <v>228203116.35000002</v>
      </c>
      <c r="AB27" s="91">
        <f t="shared" si="8"/>
        <v>25441066.810000002</v>
      </c>
      <c r="AC27" s="271">
        <f t="shared" si="9"/>
        <v>51.85939340578048</v>
      </c>
      <c r="AD27" s="68">
        <f t="shared" si="10"/>
        <v>36098679.260000005</v>
      </c>
      <c r="AE27" s="311">
        <f t="shared" si="11"/>
        <v>30.694696558911176</v>
      </c>
    </row>
    <row r="28" spans="14:31" ht="14.25" customHeight="1" thickBot="1">
      <c r="N28" s="219" t="s">
        <v>81</v>
      </c>
      <c r="O28" s="65">
        <v>49790063.8</v>
      </c>
      <c r="P28" s="66">
        <f t="shared" si="2"/>
        <v>30.828870561542693</v>
      </c>
      <c r="Q28" s="65">
        <v>111714600.15</v>
      </c>
      <c r="R28" s="66">
        <f t="shared" si="3"/>
        <v>69.17112943845731</v>
      </c>
      <c r="S28" s="67">
        <f t="shared" si="4"/>
        <v>161504663.95</v>
      </c>
      <c r="U28" s="222" t="s">
        <v>81</v>
      </c>
      <c r="V28" s="264">
        <v>75737503.3</v>
      </c>
      <c r="W28" s="265">
        <f t="shared" si="5"/>
        <v>33.26056058547064</v>
      </c>
      <c r="X28" s="266">
        <v>151972138.29</v>
      </c>
      <c r="Y28" s="265">
        <f t="shared" si="6"/>
        <v>66.73943941452937</v>
      </c>
      <c r="Z28" s="267">
        <f t="shared" si="7"/>
        <v>227709641.58999997</v>
      </c>
      <c r="AB28" s="91">
        <f t="shared" si="8"/>
        <v>25947439.5</v>
      </c>
      <c r="AC28" s="271">
        <f t="shared" si="9"/>
        <v>52.11369000093549</v>
      </c>
      <c r="AD28" s="68">
        <f t="shared" si="10"/>
        <v>40257538.139999986</v>
      </c>
      <c r="AE28" s="311">
        <f t="shared" si="11"/>
        <v>36.03605803175762</v>
      </c>
    </row>
    <row r="29" spans="2:31" ht="14.25" customHeight="1" thickBot="1" thickTop="1">
      <c r="B29" s="8">
        <v>2017</v>
      </c>
      <c r="C29" s="431" t="s">
        <v>2</v>
      </c>
      <c r="D29" s="432"/>
      <c r="E29" s="433"/>
      <c r="H29" s="8">
        <v>2017</v>
      </c>
      <c r="I29" s="431" t="s">
        <v>6</v>
      </c>
      <c r="J29" s="432"/>
      <c r="K29" s="433"/>
      <c r="N29" s="219" t="s">
        <v>82</v>
      </c>
      <c r="O29" s="65">
        <v>50418039.26</v>
      </c>
      <c r="P29" s="66">
        <f t="shared" si="2"/>
        <v>27.899127540588374</v>
      </c>
      <c r="Q29" s="65">
        <v>130297430.02</v>
      </c>
      <c r="R29" s="66">
        <f t="shared" si="3"/>
        <v>72.10087245941163</v>
      </c>
      <c r="S29" s="67">
        <f t="shared" si="4"/>
        <v>180715469.28</v>
      </c>
      <c r="U29" s="222" t="s">
        <v>82</v>
      </c>
      <c r="V29" s="264">
        <v>76562451.07</v>
      </c>
      <c r="W29" s="265">
        <f t="shared" si="5"/>
        <v>32.04355245177807</v>
      </c>
      <c r="X29" s="266">
        <v>162370018.06</v>
      </c>
      <c r="Y29" s="265">
        <f t="shared" si="6"/>
        <v>67.95644754822193</v>
      </c>
      <c r="Z29" s="267">
        <f t="shared" si="7"/>
        <v>238932469.13</v>
      </c>
      <c r="AB29" s="91">
        <f t="shared" si="8"/>
        <v>26144411.809999995</v>
      </c>
      <c r="AC29" s="271">
        <f t="shared" si="9"/>
        <v>51.855272822444135</v>
      </c>
      <c r="AD29" s="68">
        <f t="shared" si="10"/>
        <v>32072588.040000007</v>
      </c>
      <c r="AE29" s="311">
        <f t="shared" si="11"/>
        <v>24.614904557271032</v>
      </c>
    </row>
    <row r="30" spans="2:31" ht="14.25" customHeight="1" thickBot="1" thickTop="1">
      <c r="B30" s="44" t="s">
        <v>1</v>
      </c>
      <c r="C30" s="53" t="s">
        <v>67</v>
      </c>
      <c r="D30" s="53" t="s">
        <v>68</v>
      </c>
      <c r="E30" s="54" t="s">
        <v>7</v>
      </c>
      <c r="G30" s="1"/>
      <c r="H30" s="44" t="s">
        <v>1</v>
      </c>
      <c r="I30" s="53" t="s">
        <v>35</v>
      </c>
      <c r="J30" s="53" t="s">
        <v>36</v>
      </c>
      <c r="K30" s="54" t="s">
        <v>7</v>
      </c>
      <c r="N30" s="219" t="s">
        <v>83</v>
      </c>
      <c r="O30" s="65">
        <v>56977035.59</v>
      </c>
      <c r="P30" s="66">
        <f t="shared" si="2"/>
        <v>29.297715138127845</v>
      </c>
      <c r="Q30" s="65">
        <v>137499002.29</v>
      </c>
      <c r="R30" s="66">
        <f t="shared" si="3"/>
        <v>70.70228486187216</v>
      </c>
      <c r="S30" s="67">
        <f t="shared" si="4"/>
        <v>194476037.88</v>
      </c>
      <c r="U30" s="222" t="s">
        <v>83</v>
      </c>
      <c r="V30" s="264">
        <v>77503203.37</v>
      </c>
      <c r="W30" s="265">
        <f t="shared" si="5"/>
        <v>31.71893659886475</v>
      </c>
      <c r="X30" s="266">
        <v>166840433.84</v>
      </c>
      <c r="Y30" s="265">
        <f t="shared" si="6"/>
        <v>68.28106340113524</v>
      </c>
      <c r="Z30" s="267">
        <f t="shared" si="7"/>
        <v>244343637.21</v>
      </c>
      <c r="AB30" s="91">
        <f t="shared" si="8"/>
        <v>20526167.78</v>
      </c>
      <c r="AC30" s="271">
        <f t="shared" si="9"/>
        <v>36.02533471152108</v>
      </c>
      <c r="AD30" s="68">
        <f t="shared" si="10"/>
        <v>29341431.550000012</v>
      </c>
      <c r="AE30" s="311">
        <f t="shared" si="11"/>
        <v>21.339377785531724</v>
      </c>
    </row>
    <row r="31" spans="2:31" ht="15" customHeight="1" thickTop="1">
      <c r="B31" s="123" t="s">
        <v>77</v>
      </c>
      <c r="C31" s="188">
        <v>68476861.57</v>
      </c>
      <c r="D31" s="189">
        <v>155628534.9</v>
      </c>
      <c r="E31" s="178">
        <f aca="true" t="shared" si="15" ref="E31:E42">SUM(C31:D31)</f>
        <v>224105396.47</v>
      </c>
      <c r="H31" s="129" t="s">
        <v>77</v>
      </c>
      <c r="I31" s="188">
        <v>37433987.07</v>
      </c>
      <c r="J31" s="189">
        <v>1729149.68</v>
      </c>
      <c r="K31" s="178">
        <f aca="true" t="shared" si="16" ref="K31:K42">SUM(I31:J31)</f>
        <v>39163136.75</v>
      </c>
      <c r="N31" s="219" t="s">
        <v>84</v>
      </c>
      <c r="O31" s="65">
        <v>56691117.32</v>
      </c>
      <c r="P31" s="66">
        <f t="shared" si="2"/>
        <v>30.537519487406144</v>
      </c>
      <c r="Q31" s="65">
        <v>128953028.87</v>
      </c>
      <c r="R31" s="66">
        <f t="shared" si="3"/>
        <v>69.46248051259386</v>
      </c>
      <c r="S31" s="67">
        <f t="shared" si="4"/>
        <v>185644146.19</v>
      </c>
      <c r="U31" s="222" t="s">
        <v>84</v>
      </c>
      <c r="V31" s="264">
        <v>82862756.58</v>
      </c>
      <c r="W31" s="265">
        <f t="shared" si="5"/>
        <v>31.780919548192337</v>
      </c>
      <c r="X31" s="266">
        <v>177868392.04</v>
      </c>
      <c r="Y31" s="265">
        <f t="shared" si="6"/>
        <v>68.21908045180766</v>
      </c>
      <c r="Z31" s="267">
        <f t="shared" si="7"/>
        <v>260731148.62</v>
      </c>
      <c r="AB31" s="91">
        <f t="shared" si="8"/>
        <v>26171639.259999998</v>
      </c>
      <c r="AC31" s="271">
        <f t="shared" si="9"/>
        <v>46.165326240213176</v>
      </c>
      <c r="AD31" s="68">
        <f t="shared" si="10"/>
        <v>48915363.16999999</v>
      </c>
      <c r="AE31" s="311">
        <f t="shared" si="11"/>
        <v>37.93269812941929</v>
      </c>
    </row>
    <row r="32" spans="2:31" ht="15" customHeight="1">
      <c r="B32" s="124" t="s">
        <v>75</v>
      </c>
      <c r="C32" s="190">
        <v>58964595.9</v>
      </c>
      <c r="D32" s="191">
        <v>138641572.7</v>
      </c>
      <c r="E32" s="182">
        <f t="shared" si="15"/>
        <v>197606168.6</v>
      </c>
      <c r="H32" s="124" t="s">
        <v>75</v>
      </c>
      <c r="I32" s="190">
        <v>33683423.48</v>
      </c>
      <c r="J32" s="191">
        <v>1497912.52</v>
      </c>
      <c r="K32" s="182">
        <f t="shared" si="16"/>
        <v>35181336</v>
      </c>
      <c r="N32" s="219" t="s">
        <v>85</v>
      </c>
      <c r="O32" s="65">
        <v>54365692.18</v>
      </c>
      <c r="P32" s="66">
        <f t="shared" si="2"/>
        <v>29.314536706572607</v>
      </c>
      <c r="Q32" s="65">
        <v>131090734.18</v>
      </c>
      <c r="R32" s="66">
        <f t="shared" si="3"/>
        <v>70.68546329342739</v>
      </c>
      <c r="S32" s="67">
        <f t="shared" si="4"/>
        <v>185456426.36</v>
      </c>
      <c r="U32" s="222" t="s">
        <v>85</v>
      </c>
      <c r="V32" s="264">
        <v>88901250.05</v>
      </c>
      <c r="W32" s="265">
        <f t="shared" si="5"/>
        <v>33.67904265678032</v>
      </c>
      <c r="X32" s="266">
        <v>175064834.01</v>
      </c>
      <c r="Y32" s="265">
        <f t="shared" si="6"/>
        <v>66.32095734321967</v>
      </c>
      <c r="Z32" s="267">
        <f t="shared" si="7"/>
        <v>263966084.06</v>
      </c>
      <c r="AB32" s="91">
        <f t="shared" si="8"/>
        <v>34535557.87</v>
      </c>
      <c r="AC32" s="271">
        <f t="shared" si="9"/>
        <v>63.52454366929757</v>
      </c>
      <c r="AD32" s="68">
        <f t="shared" si="10"/>
        <v>43974099.82999998</v>
      </c>
      <c r="AE32" s="311">
        <f t="shared" si="11"/>
        <v>33.544781105291065</v>
      </c>
    </row>
    <row r="33" spans="2:31" ht="14.25" customHeight="1">
      <c r="B33" s="124" t="s">
        <v>78</v>
      </c>
      <c r="C33" s="190">
        <v>68028683.84</v>
      </c>
      <c r="D33" s="191">
        <v>132220932.89</v>
      </c>
      <c r="E33" s="182">
        <f t="shared" si="15"/>
        <v>200249616.73000002</v>
      </c>
      <c r="G33" s="1"/>
      <c r="H33" s="124" t="s">
        <v>78</v>
      </c>
      <c r="I33" s="190">
        <v>35415084.78</v>
      </c>
      <c r="J33" s="191">
        <v>7420837.42</v>
      </c>
      <c r="K33" s="182">
        <f t="shared" si="16"/>
        <v>42835922.2</v>
      </c>
      <c r="N33" s="219" t="s">
        <v>86</v>
      </c>
      <c r="O33" s="65">
        <v>56779419.22</v>
      </c>
      <c r="P33" s="66">
        <f t="shared" si="2"/>
        <v>28.892644612985308</v>
      </c>
      <c r="Q33" s="65">
        <v>139739175.67</v>
      </c>
      <c r="R33" s="66">
        <f t="shared" si="3"/>
        <v>71.10735538701469</v>
      </c>
      <c r="S33" s="67">
        <f t="shared" si="4"/>
        <v>196518594.89</v>
      </c>
      <c r="U33" s="222" t="s">
        <v>86</v>
      </c>
      <c r="V33" s="264">
        <v>84965154.47</v>
      </c>
      <c r="W33" s="265">
        <f t="shared" si="5"/>
        <v>31.693365131170882</v>
      </c>
      <c r="X33" s="266">
        <v>183119834.67</v>
      </c>
      <c r="Y33" s="265">
        <f t="shared" si="6"/>
        <v>68.30663486882912</v>
      </c>
      <c r="Z33" s="267">
        <f t="shared" si="7"/>
        <v>268084989.14</v>
      </c>
      <c r="AB33" s="91">
        <f t="shared" si="8"/>
        <v>28185735.25</v>
      </c>
      <c r="AC33" s="271">
        <f t="shared" si="9"/>
        <v>49.64076004509721</v>
      </c>
      <c r="AD33" s="68">
        <f t="shared" si="10"/>
        <v>43380659</v>
      </c>
      <c r="AE33" s="311">
        <f t="shared" si="11"/>
        <v>31.04402097121661</v>
      </c>
    </row>
    <row r="34" spans="2:31" ht="14.25" customHeight="1" thickBot="1">
      <c r="B34" s="124" t="s">
        <v>79</v>
      </c>
      <c r="C34" s="190">
        <v>78506950.76</v>
      </c>
      <c r="D34" s="191">
        <v>151396140.42</v>
      </c>
      <c r="E34" s="182">
        <f t="shared" si="15"/>
        <v>229903091.18</v>
      </c>
      <c r="H34" s="124" t="s">
        <v>79</v>
      </c>
      <c r="I34" s="190">
        <v>38906122.97</v>
      </c>
      <c r="J34" s="191">
        <v>10994920.24</v>
      </c>
      <c r="K34" s="182">
        <f t="shared" si="16"/>
        <v>49901043.21</v>
      </c>
      <c r="N34" s="220" t="s">
        <v>87</v>
      </c>
      <c r="O34" s="69">
        <v>57369173.27</v>
      </c>
      <c r="P34" s="66">
        <f t="shared" si="2"/>
        <v>27.920263088083914</v>
      </c>
      <c r="Q34" s="69">
        <v>148105872.18</v>
      </c>
      <c r="R34" s="66">
        <f t="shared" si="3"/>
        <v>72.07973691191607</v>
      </c>
      <c r="S34" s="70">
        <f t="shared" si="4"/>
        <v>205475045.45000002</v>
      </c>
      <c r="U34" s="223" t="s">
        <v>87</v>
      </c>
      <c r="V34" s="83">
        <v>88053052.73</v>
      </c>
      <c r="W34" s="62">
        <f t="shared" si="5"/>
        <v>32.225219890141915</v>
      </c>
      <c r="X34" s="83">
        <v>185189621.89</v>
      </c>
      <c r="Y34" s="62">
        <f t="shared" si="6"/>
        <v>67.77478010985809</v>
      </c>
      <c r="Z34" s="263">
        <f t="shared" si="7"/>
        <v>273242674.62</v>
      </c>
      <c r="AB34" s="91">
        <f t="shared" si="8"/>
        <v>30683879.46</v>
      </c>
      <c r="AC34" s="271">
        <f t="shared" si="9"/>
        <v>53.484960146785795</v>
      </c>
      <c r="AD34" s="68">
        <f t="shared" si="10"/>
        <v>37083749.70999998</v>
      </c>
      <c r="AE34" s="311">
        <f t="shared" si="11"/>
        <v>25.0386761606119</v>
      </c>
    </row>
    <row r="35" spans="2:31" ht="14.25" customHeight="1" thickBot="1" thickTop="1">
      <c r="B35" s="124" t="s">
        <v>80</v>
      </c>
      <c r="C35" s="190">
        <v>74498846.2</v>
      </c>
      <c r="D35" s="191">
        <v>153704270.15</v>
      </c>
      <c r="E35" s="182">
        <f t="shared" si="15"/>
        <v>228203116.35000002</v>
      </c>
      <c r="H35" s="124" t="s">
        <v>80</v>
      </c>
      <c r="I35" s="190">
        <v>37074511.84</v>
      </c>
      <c r="J35" s="191">
        <v>3018668.58</v>
      </c>
      <c r="K35" s="182">
        <f t="shared" si="16"/>
        <v>40093180.42</v>
      </c>
      <c r="N35" s="236" t="s">
        <v>7</v>
      </c>
      <c r="O35" s="71">
        <f>SUM(O23:O34)</f>
        <v>613963178.09</v>
      </c>
      <c r="P35" s="73"/>
      <c r="Q35" s="71">
        <f>SUM(Q23:Q34)</f>
        <v>1499884059.23</v>
      </c>
      <c r="R35" s="73"/>
      <c r="S35" s="72">
        <f>SUM(O35:Q35)</f>
        <v>2113847237.3200002</v>
      </c>
      <c r="U35" s="236" t="s">
        <v>7</v>
      </c>
      <c r="V35" s="71">
        <f>SUM(V23:V34)</f>
        <v>923061309.84</v>
      </c>
      <c r="W35" s="73"/>
      <c r="X35" s="71">
        <f>SUM(X23:X34)</f>
        <v>1934016723.8599997</v>
      </c>
      <c r="Y35" s="73"/>
      <c r="Z35" s="72">
        <f>SUM(V35:X35)</f>
        <v>2857078033.7</v>
      </c>
      <c r="AB35" s="74">
        <f>SUM(AB23:AB34)</f>
        <v>309098131.74999994</v>
      </c>
      <c r="AC35" s="316">
        <f>+V35*100/O35-100</f>
        <v>50.34473446951401</v>
      </c>
      <c r="AD35" s="75">
        <f>SUM(AD23:AD34)</f>
        <v>434132664.63</v>
      </c>
      <c r="AE35" s="317">
        <f>+X35*100/Q35-100</f>
        <v>28.944414867164568</v>
      </c>
    </row>
    <row r="36" spans="2:30" ht="14.25" customHeight="1" thickTop="1">
      <c r="B36" s="124" t="s">
        <v>81</v>
      </c>
      <c r="C36" s="190">
        <v>75737503.3</v>
      </c>
      <c r="D36" s="191">
        <v>151972138.29</v>
      </c>
      <c r="E36" s="182">
        <f t="shared" si="15"/>
        <v>227709641.58999997</v>
      </c>
      <c r="H36" s="124" t="s">
        <v>81</v>
      </c>
      <c r="I36" s="190">
        <v>38798012</v>
      </c>
      <c r="J36" s="191">
        <v>2929437.25</v>
      </c>
      <c r="K36" s="182">
        <f t="shared" si="16"/>
        <v>41727449.25</v>
      </c>
      <c r="N36" s="8" t="s">
        <v>20</v>
      </c>
      <c r="O36" s="76">
        <f>O35*100/S35</f>
        <v>29.044822504222264</v>
      </c>
      <c r="P36" s="77"/>
      <c r="Q36" s="76">
        <f>Q35*100/S35</f>
        <v>70.95517749577773</v>
      </c>
      <c r="R36" s="78"/>
      <c r="S36" s="79">
        <f>S35*100/S35</f>
        <v>100</v>
      </c>
      <c r="U36" s="8" t="s">
        <v>20</v>
      </c>
      <c r="V36" s="76">
        <f>V35*100/Z35</f>
        <v>32.30787885217852</v>
      </c>
      <c r="W36" s="77"/>
      <c r="X36" s="76">
        <f>X35*100/Z35</f>
        <v>67.69212114782148</v>
      </c>
      <c r="Y36" s="78"/>
      <c r="Z36" s="79">
        <f>Z35*100/Z35</f>
        <v>100</v>
      </c>
      <c r="AA36" s="8"/>
      <c r="AB36" s="80" t="s">
        <v>7</v>
      </c>
      <c r="AC36" s="92"/>
      <c r="AD36" s="368">
        <f>+AB35+AD35</f>
        <v>743230796.3799999</v>
      </c>
    </row>
    <row r="37" spans="2:29" ht="14.25" customHeight="1">
      <c r="B37" s="124" t="s">
        <v>82</v>
      </c>
      <c r="C37" s="190">
        <v>76562451.07</v>
      </c>
      <c r="D37" s="191">
        <v>162370018.06</v>
      </c>
      <c r="E37" s="182">
        <f t="shared" si="15"/>
        <v>238932469.13</v>
      </c>
      <c r="H37" s="124" t="s">
        <v>82</v>
      </c>
      <c r="I37" s="190">
        <v>39969797.29</v>
      </c>
      <c r="J37" s="191">
        <v>3178522.08</v>
      </c>
      <c r="K37" s="182">
        <f t="shared" si="16"/>
        <v>43148319.37</v>
      </c>
      <c r="AB37" s="1"/>
      <c r="AC37" s="1"/>
    </row>
    <row r="38" spans="2:29" ht="14.25" customHeight="1" thickBot="1">
      <c r="B38" s="124" t="s">
        <v>83</v>
      </c>
      <c r="C38" s="190">
        <v>77503203.37</v>
      </c>
      <c r="D38" s="191">
        <v>166840433.84</v>
      </c>
      <c r="E38" s="182">
        <f t="shared" si="15"/>
        <v>244343637.21</v>
      </c>
      <c r="H38" s="124" t="s">
        <v>83</v>
      </c>
      <c r="I38" s="190">
        <v>40808964.16</v>
      </c>
      <c r="J38" s="191">
        <v>3909885.43</v>
      </c>
      <c r="K38" s="182">
        <f t="shared" si="16"/>
        <v>44718849.589999996</v>
      </c>
      <c r="AB38" s="81"/>
      <c r="AC38" s="82"/>
    </row>
    <row r="39" spans="2:26" ht="14.25" customHeight="1" thickBot="1" thickTop="1">
      <c r="B39" s="124" t="s">
        <v>84</v>
      </c>
      <c r="C39" s="190">
        <v>82862756.58</v>
      </c>
      <c r="D39" s="191">
        <v>177868392.04</v>
      </c>
      <c r="E39" s="182">
        <f t="shared" si="15"/>
        <v>260731148.62</v>
      </c>
      <c r="H39" s="124" t="s">
        <v>84</v>
      </c>
      <c r="I39" s="190">
        <v>42927157.8</v>
      </c>
      <c r="J39" s="191">
        <v>3994330.32</v>
      </c>
      <c r="K39" s="182">
        <f t="shared" si="16"/>
        <v>46921488.12</v>
      </c>
      <c r="N39" s="233" t="s">
        <v>41</v>
      </c>
      <c r="O39" s="287">
        <f>O35/12</f>
        <v>51163598.17416667</v>
      </c>
      <c r="P39" s="286"/>
      <c r="Q39" s="287">
        <f>Q35/12</f>
        <v>124990338.26916666</v>
      </c>
      <c r="R39" s="160"/>
      <c r="S39" s="287">
        <f>S35/12</f>
        <v>176153936.44333336</v>
      </c>
      <c r="T39" s="84"/>
      <c r="U39" s="84"/>
      <c r="V39" s="287">
        <f>V35/12</f>
        <v>76921775.82000001</v>
      </c>
      <c r="W39" s="160"/>
      <c r="X39" s="287">
        <f>X35/12</f>
        <v>161168060.32166663</v>
      </c>
      <c r="Y39" s="160"/>
      <c r="Z39" s="287">
        <f>Z35/12</f>
        <v>238089836.14166665</v>
      </c>
    </row>
    <row r="40" spans="2:26" ht="14.25" customHeight="1" thickTop="1">
      <c r="B40" s="124" t="s">
        <v>85</v>
      </c>
      <c r="C40" s="190">
        <v>88901250.05</v>
      </c>
      <c r="D40" s="191">
        <v>175064834.01</v>
      </c>
      <c r="E40" s="182">
        <f t="shared" si="15"/>
        <v>263966084.06</v>
      </c>
      <c r="H40" s="124" t="s">
        <v>85</v>
      </c>
      <c r="I40" s="190">
        <v>43630327.11</v>
      </c>
      <c r="J40" s="191">
        <v>4081782.75</v>
      </c>
      <c r="K40" s="182">
        <f t="shared" si="16"/>
        <v>47712109.86</v>
      </c>
      <c r="O40" s="434">
        <v>2016</v>
      </c>
      <c r="P40" s="435"/>
      <c r="Q40" s="435"/>
      <c r="R40" s="435"/>
      <c r="S40" s="436"/>
      <c r="V40" s="434">
        <v>2017</v>
      </c>
      <c r="W40" s="435"/>
      <c r="X40" s="435"/>
      <c r="Y40" s="435"/>
      <c r="Z40" s="436"/>
    </row>
    <row r="41" spans="2:11" ht="14.25" customHeight="1">
      <c r="B41" s="124" t="s">
        <v>86</v>
      </c>
      <c r="C41" s="190">
        <v>84965154.47</v>
      </c>
      <c r="D41" s="191">
        <v>183119834.67</v>
      </c>
      <c r="E41" s="182">
        <f t="shared" si="15"/>
        <v>268084989.14</v>
      </c>
      <c r="H41" s="124" t="s">
        <v>86</v>
      </c>
      <c r="I41" s="190">
        <v>45101188.49</v>
      </c>
      <c r="J41" s="191">
        <v>3448273.21</v>
      </c>
      <c r="K41" s="182">
        <f t="shared" si="16"/>
        <v>48549461.7</v>
      </c>
    </row>
    <row r="42" spans="2:11" ht="14.25" customHeight="1" thickBot="1">
      <c r="B42" s="125" t="s">
        <v>87</v>
      </c>
      <c r="C42" s="192">
        <v>88053052.73</v>
      </c>
      <c r="D42" s="193">
        <v>185189621.89</v>
      </c>
      <c r="E42" s="182">
        <f t="shared" si="15"/>
        <v>273242674.62</v>
      </c>
      <c r="H42" s="125" t="s">
        <v>87</v>
      </c>
      <c r="I42" s="192">
        <v>45819344.01</v>
      </c>
      <c r="J42" s="193">
        <v>3532218.71</v>
      </c>
      <c r="K42" s="182">
        <f t="shared" si="16"/>
        <v>49351562.72</v>
      </c>
    </row>
    <row r="43" spans="2:11" ht="14.25" thickBot="1" thickTop="1">
      <c r="B43" s="235" t="s">
        <v>7</v>
      </c>
      <c r="C43" s="194">
        <f>SUM(C31:C42)</f>
        <v>923061309.84</v>
      </c>
      <c r="D43" s="194">
        <f>SUM(D31:D42)</f>
        <v>1934016723.8599997</v>
      </c>
      <c r="E43" s="195">
        <f>SUM(C43:D43)</f>
        <v>2857078033.7</v>
      </c>
      <c r="H43" s="235" t="s">
        <v>7</v>
      </c>
      <c r="I43" s="194">
        <f>SUM(I31:I42)</f>
        <v>479567921.00000006</v>
      </c>
      <c r="J43" s="194">
        <f>SUM(J31:J42)</f>
        <v>49735938.19</v>
      </c>
      <c r="K43" s="195">
        <f>SUM(I43:J43)</f>
        <v>529303859.19000006</v>
      </c>
    </row>
    <row r="44" spans="2:11" ht="14.25" thickBot="1" thickTop="1">
      <c r="B44" s="9" t="s">
        <v>20</v>
      </c>
      <c r="C44" s="313">
        <f>C43*100/E43</f>
        <v>32.30787885217852</v>
      </c>
      <c r="D44" s="313">
        <f>D43*100/$E43</f>
        <v>67.69212114782148</v>
      </c>
      <c r="E44" s="55">
        <f>E43*100/$E43</f>
        <v>100</v>
      </c>
      <c r="H44" s="9" t="s">
        <v>20</v>
      </c>
      <c r="I44" s="313">
        <f>I43*100/K43</f>
        <v>90.60351869224769</v>
      </c>
      <c r="J44" s="313">
        <f>J43*100/$K43</f>
        <v>9.396481307752317</v>
      </c>
      <c r="K44" s="55">
        <f>K43*100/$K43</f>
        <v>100</v>
      </c>
    </row>
    <row r="45" spans="2:11" ht="14.25" thickBot="1">
      <c r="B45" s="233" t="s">
        <v>41</v>
      </c>
      <c r="C45" s="362">
        <f>+C43/12</f>
        <v>76921775.82000001</v>
      </c>
      <c r="D45" s="362">
        <f>+D43/12</f>
        <v>161168060.32166663</v>
      </c>
      <c r="E45" s="362">
        <f>+E43/12</f>
        <v>238089836.14166665</v>
      </c>
      <c r="H45" s="233" t="s">
        <v>41</v>
      </c>
      <c r="I45" s="362">
        <f>+I43/12</f>
        <v>39963993.41666667</v>
      </c>
      <c r="J45" s="362">
        <f>+J43/12</f>
        <v>4144661.515833333</v>
      </c>
      <c r="K45" s="362">
        <f>+K43/12</f>
        <v>44108654.932500005</v>
      </c>
    </row>
    <row r="48" spans="2:8" ht="14.25">
      <c r="B48" s="392" t="s">
        <v>100</v>
      </c>
      <c r="C48" s="412"/>
      <c r="D48" s="412"/>
      <c r="E48" s="412"/>
      <c r="F48" s="412"/>
      <c r="G48" s="412"/>
      <c r="H48" s="413"/>
    </row>
    <row r="49" spans="2:5" ht="12.75">
      <c r="B49" s="278"/>
      <c r="C49" s="10"/>
      <c r="D49" s="10"/>
      <c r="E49" s="10"/>
    </row>
    <row r="50" spans="2:13" ht="13.5" thickBot="1">
      <c r="B50" s="415" t="s">
        <v>104</v>
      </c>
      <c r="C50" s="416"/>
      <c r="D50" s="416"/>
      <c r="E50" s="416"/>
      <c r="G50" s="141">
        <v>2017</v>
      </c>
      <c r="H50" s="407" t="s">
        <v>105</v>
      </c>
      <c r="I50" s="407"/>
      <c r="J50" s="407"/>
      <c r="K50" s="407"/>
      <c r="M50" s="141">
        <v>2017</v>
      </c>
    </row>
    <row r="51" spans="2:13" ht="14.25" thickBot="1" thickTop="1">
      <c r="B51" s="278"/>
      <c r="C51" s="414" t="s">
        <v>3</v>
      </c>
      <c r="D51" s="414"/>
      <c r="E51" s="52" t="s">
        <v>76</v>
      </c>
      <c r="F51" s="143" t="s">
        <v>51</v>
      </c>
      <c r="G51" s="144" t="s">
        <v>88</v>
      </c>
      <c r="I51" s="419" t="s">
        <v>4</v>
      </c>
      <c r="J51" s="419"/>
      <c r="K51" s="8" t="s">
        <v>76</v>
      </c>
      <c r="L51" s="143" t="s">
        <v>51</v>
      </c>
      <c r="M51" s="144" t="s">
        <v>88</v>
      </c>
    </row>
    <row r="52" spans="2:13" ht="14.25" thickBot="1" thickTop="1">
      <c r="B52" s="276" t="s">
        <v>1</v>
      </c>
      <c r="C52" s="112">
        <v>2016</v>
      </c>
      <c r="D52" s="112">
        <v>2017</v>
      </c>
      <c r="E52" s="52" t="s">
        <v>89</v>
      </c>
      <c r="F52" s="8" t="s">
        <v>20</v>
      </c>
      <c r="G52" s="142" t="s">
        <v>50</v>
      </c>
      <c r="H52" s="8" t="s">
        <v>1</v>
      </c>
      <c r="I52" s="112">
        <v>2016</v>
      </c>
      <c r="J52" s="112">
        <v>2017</v>
      </c>
      <c r="K52" s="8" t="s">
        <v>89</v>
      </c>
      <c r="L52" s="8" t="s">
        <v>20</v>
      </c>
      <c r="M52" s="142" t="s">
        <v>50</v>
      </c>
    </row>
    <row r="53" spans="2:13" ht="14.25" customHeight="1" thickTop="1">
      <c r="B53" s="225" t="s">
        <v>77</v>
      </c>
      <c r="C53" s="113">
        <v>7229770.54</v>
      </c>
      <c r="D53" s="113">
        <v>11801792.16</v>
      </c>
      <c r="E53" s="114">
        <f aca="true" t="shared" si="17" ref="E53:E64">D53-C53</f>
        <v>4572021.62</v>
      </c>
      <c r="F53" s="259">
        <f aca="true" t="shared" si="18" ref="F53:F64">E53/C53*100</f>
        <v>63.23882057811478</v>
      </c>
      <c r="G53" s="369">
        <f>+D53*100/10203811.43-100</f>
        <v>15.660625845179894</v>
      </c>
      <c r="H53" s="126" t="s">
        <v>77</v>
      </c>
      <c r="I53" s="113">
        <v>10028281.1</v>
      </c>
      <c r="J53" s="113">
        <v>14956508.03</v>
      </c>
      <c r="K53" s="114">
        <f aca="true" t="shared" si="19" ref="K53:K58">J53-I53</f>
        <v>4928226.93</v>
      </c>
      <c r="L53" s="259">
        <f aca="true" t="shared" si="20" ref="L53:L58">K53/I53*100</f>
        <v>49.14328667950881</v>
      </c>
      <c r="M53" s="268">
        <f>+J53*100/24852445.18-100</f>
        <v>-39.81876663775423</v>
      </c>
    </row>
    <row r="54" spans="2:13" ht="14.25" customHeight="1">
      <c r="B54" s="226" t="s">
        <v>75</v>
      </c>
      <c r="C54" s="211">
        <v>57912851.46</v>
      </c>
      <c r="D54" s="217">
        <v>48893322.66</v>
      </c>
      <c r="E54" s="115">
        <f t="shared" si="17"/>
        <v>-9019528.800000004</v>
      </c>
      <c r="F54" s="373">
        <f t="shared" si="18"/>
        <v>-15.574313080110949</v>
      </c>
      <c r="G54" s="258">
        <f aca="true" t="shared" si="21" ref="G54:G64">+D54*100/D53-100</f>
        <v>314.2872709258083</v>
      </c>
      <c r="H54" s="127" t="s">
        <v>75</v>
      </c>
      <c r="I54" s="211">
        <v>21556753.92</v>
      </c>
      <c r="J54" s="211">
        <v>13081447.71</v>
      </c>
      <c r="K54" s="115">
        <f t="shared" si="19"/>
        <v>-8475306.21</v>
      </c>
      <c r="L54" s="373">
        <f t="shared" si="20"/>
        <v>-39.316245114886016</v>
      </c>
      <c r="M54" s="374">
        <f aca="true" t="shared" si="22" ref="M54:M64">+J54*100/J53-100</f>
        <v>-12.536752002800213</v>
      </c>
    </row>
    <row r="55" spans="2:13" ht="14.25" customHeight="1">
      <c r="B55" s="226" t="s">
        <v>78</v>
      </c>
      <c r="C55" s="211">
        <v>14929133.94</v>
      </c>
      <c r="D55" s="211">
        <v>54780583.69</v>
      </c>
      <c r="E55" s="115">
        <f t="shared" si="17"/>
        <v>39851449.75</v>
      </c>
      <c r="F55" s="257">
        <f t="shared" si="18"/>
        <v>266.93745203280025</v>
      </c>
      <c r="G55" s="258">
        <f t="shared" si="21"/>
        <v>12.041032823519714</v>
      </c>
      <c r="H55" s="127" t="s">
        <v>78</v>
      </c>
      <c r="I55" s="211">
        <v>80627475.77</v>
      </c>
      <c r="J55" s="379">
        <v>66208115.78</v>
      </c>
      <c r="K55" s="115">
        <f t="shared" si="19"/>
        <v>-14419359.989999995</v>
      </c>
      <c r="L55" s="373">
        <f t="shared" si="20"/>
        <v>-17.883928341168748</v>
      </c>
      <c r="M55" s="258">
        <f t="shared" si="22"/>
        <v>406.1222369859551</v>
      </c>
    </row>
    <row r="56" spans="2:13" ht="14.25" customHeight="1">
      <c r="B56" s="226" t="s">
        <v>79</v>
      </c>
      <c r="C56" s="116">
        <v>11199514.89</v>
      </c>
      <c r="D56" s="116">
        <v>19332383.66</v>
      </c>
      <c r="E56" s="115">
        <f t="shared" si="17"/>
        <v>8132868.77</v>
      </c>
      <c r="F56" s="257">
        <f t="shared" si="18"/>
        <v>72.6180450660573</v>
      </c>
      <c r="G56" s="374">
        <f t="shared" si="21"/>
        <v>-64.70942374509774</v>
      </c>
      <c r="H56" s="127" t="s">
        <v>79</v>
      </c>
      <c r="I56" s="116">
        <v>22996467.78</v>
      </c>
      <c r="J56" s="217">
        <v>95769125.46</v>
      </c>
      <c r="K56" s="115">
        <f t="shared" si="19"/>
        <v>72772657.67999999</v>
      </c>
      <c r="L56" s="257">
        <f t="shared" si="20"/>
        <v>316.45145844219724</v>
      </c>
      <c r="M56" s="258">
        <f t="shared" si="22"/>
        <v>44.648619480770236</v>
      </c>
    </row>
    <row r="57" spans="2:13" ht="14.25" customHeight="1">
      <c r="B57" s="226" t="s">
        <v>80</v>
      </c>
      <c r="C57" s="116">
        <v>11005499.19</v>
      </c>
      <c r="D57" s="116">
        <v>11997431.81</v>
      </c>
      <c r="E57" s="115">
        <f t="shared" si="17"/>
        <v>991932.620000001</v>
      </c>
      <c r="F57" s="257">
        <f t="shared" si="18"/>
        <v>9.01306340471414</v>
      </c>
      <c r="G57" s="374">
        <f t="shared" si="21"/>
        <v>-37.941269835113545</v>
      </c>
      <c r="H57" s="127" t="s">
        <v>80</v>
      </c>
      <c r="I57" s="116">
        <v>21218650.97</v>
      </c>
      <c r="J57" s="116">
        <v>24852142.7</v>
      </c>
      <c r="K57" s="115">
        <f t="shared" si="19"/>
        <v>3633491.7300000004</v>
      </c>
      <c r="L57" s="257">
        <f t="shared" si="20"/>
        <v>17.12404683566931</v>
      </c>
      <c r="M57" s="374">
        <f t="shared" si="22"/>
        <v>-74.04994294285372</v>
      </c>
    </row>
    <row r="58" spans="2:13" ht="14.25" customHeight="1">
      <c r="B58" s="226" t="s">
        <v>81</v>
      </c>
      <c r="C58" s="116">
        <v>12040065.12</v>
      </c>
      <c r="D58" s="116">
        <v>15436304.48</v>
      </c>
      <c r="E58" s="115">
        <f t="shared" si="17"/>
        <v>3396239.3600000013</v>
      </c>
      <c r="F58" s="257">
        <f t="shared" si="18"/>
        <v>28.207815540452835</v>
      </c>
      <c r="G58" s="258">
        <f t="shared" si="21"/>
        <v>28.66340667286525</v>
      </c>
      <c r="H58" s="127" t="s">
        <v>81</v>
      </c>
      <c r="I58" s="116">
        <v>20466838.57</v>
      </c>
      <c r="J58" s="116">
        <v>25932926.68</v>
      </c>
      <c r="K58" s="115">
        <f t="shared" si="19"/>
        <v>5466088.109999999</v>
      </c>
      <c r="L58" s="257">
        <f t="shared" si="20"/>
        <v>26.70704657832262</v>
      </c>
      <c r="M58" s="258">
        <f t="shared" si="22"/>
        <v>4.3488563261790745</v>
      </c>
    </row>
    <row r="59" spans="2:13" ht="14.25" customHeight="1">
      <c r="B59" s="226" t="s">
        <v>82</v>
      </c>
      <c r="C59" s="116">
        <v>14284225.08</v>
      </c>
      <c r="D59" s="116">
        <v>16957615.42</v>
      </c>
      <c r="E59" s="115">
        <f t="shared" si="17"/>
        <v>2673390.3400000017</v>
      </c>
      <c r="F59" s="257">
        <f t="shared" si="18"/>
        <v>18.71568338518509</v>
      </c>
      <c r="G59" s="258">
        <f t="shared" si="21"/>
        <v>9.855408993590942</v>
      </c>
      <c r="H59" s="127" t="s">
        <v>82</v>
      </c>
      <c r="I59" s="116">
        <v>29789653.64</v>
      </c>
      <c r="J59" s="116">
        <v>28346249.88</v>
      </c>
      <c r="K59" s="115">
        <f aca="true" t="shared" si="23" ref="K59:K64">J59-I59</f>
        <v>-1443403.7600000016</v>
      </c>
      <c r="L59" s="373">
        <f aca="true" t="shared" si="24" ref="L59:L65">K59/I59*100</f>
        <v>-4.845319040775533</v>
      </c>
      <c r="M59" s="258">
        <f t="shared" si="22"/>
        <v>9.306019446934243</v>
      </c>
    </row>
    <row r="60" spans="2:13" ht="14.25" customHeight="1">
      <c r="B60" s="226" t="s">
        <v>83</v>
      </c>
      <c r="C60" s="116">
        <v>12141615.09</v>
      </c>
      <c r="D60" s="116">
        <v>14293265.59</v>
      </c>
      <c r="E60" s="115">
        <f t="shared" si="17"/>
        <v>2151650.5</v>
      </c>
      <c r="F60" s="257">
        <f t="shared" si="18"/>
        <v>17.721287357990196</v>
      </c>
      <c r="G60" s="374">
        <f t="shared" si="21"/>
        <v>-15.711818932145604</v>
      </c>
      <c r="H60" s="127" t="s">
        <v>83</v>
      </c>
      <c r="I60" s="116">
        <v>34682365.48</v>
      </c>
      <c r="J60" s="116">
        <v>35030355.09</v>
      </c>
      <c r="K60" s="115">
        <f t="shared" si="23"/>
        <v>347989.61000000685</v>
      </c>
      <c r="L60" s="257">
        <f t="shared" si="24"/>
        <v>1.003361809910801</v>
      </c>
      <c r="M60" s="258">
        <f t="shared" si="22"/>
        <v>23.58020986301983</v>
      </c>
    </row>
    <row r="61" spans="2:13" ht="14.25" customHeight="1">
      <c r="B61" s="226" t="s">
        <v>84</v>
      </c>
      <c r="C61" s="116">
        <v>9957384.86</v>
      </c>
      <c r="D61" s="116">
        <v>13230919.17</v>
      </c>
      <c r="E61" s="115">
        <f t="shared" si="17"/>
        <v>3273534.3100000005</v>
      </c>
      <c r="F61" s="257">
        <f t="shared" si="18"/>
        <v>32.87544225743627</v>
      </c>
      <c r="G61" s="374">
        <f t="shared" si="21"/>
        <v>-7.432496187178174</v>
      </c>
      <c r="H61" s="127" t="s">
        <v>84</v>
      </c>
      <c r="I61" s="116">
        <v>23921971.68</v>
      </c>
      <c r="J61" s="116">
        <v>35822760.48</v>
      </c>
      <c r="K61" s="115">
        <f t="shared" si="23"/>
        <v>11900788.799999997</v>
      </c>
      <c r="L61" s="257">
        <f t="shared" si="24"/>
        <v>49.74836087591254</v>
      </c>
      <c r="M61" s="258">
        <f t="shared" si="22"/>
        <v>2.2620535474566026</v>
      </c>
    </row>
    <row r="62" spans="2:13" ht="14.25" customHeight="1">
      <c r="B62" s="226" t="s">
        <v>85</v>
      </c>
      <c r="C62" s="116">
        <v>9039365.22</v>
      </c>
      <c r="D62" s="116">
        <v>19194041.5</v>
      </c>
      <c r="E62" s="115">
        <f t="shared" si="17"/>
        <v>10154676.28</v>
      </c>
      <c r="F62" s="257">
        <f t="shared" si="18"/>
        <v>112.33837811456408</v>
      </c>
      <c r="G62" s="258">
        <f t="shared" si="21"/>
        <v>45.06959987723968</v>
      </c>
      <c r="H62" s="127" t="s">
        <v>85</v>
      </c>
      <c r="I62" s="116">
        <v>20665610.85</v>
      </c>
      <c r="J62" s="116">
        <v>36653735.84</v>
      </c>
      <c r="K62" s="115">
        <f t="shared" si="23"/>
        <v>15988124.990000002</v>
      </c>
      <c r="L62" s="257">
        <f t="shared" si="24"/>
        <v>77.36584757183697</v>
      </c>
      <c r="M62" s="258">
        <f t="shared" si="22"/>
        <v>2.319685442622287</v>
      </c>
    </row>
    <row r="63" spans="2:13" ht="14.25" customHeight="1">
      <c r="B63" s="226" t="s">
        <v>86</v>
      </c>
      <c r="C63" s="117">
        <v>10381893.45</v>
      </c>
      <c r="D63" s="117">
        <v>15265240.12</v>
      </c>
      <c r="E63" s="115">
        <f t="shared" si="17"/>
        <v>4883346.67</v>
      </c>
      <c r="F63" s="257">
        <f t="shared" si="18"/>
        <v>47.03714879678331</v>
      </c>
      <c r="G63" s="374">
        <f t="shared" si="21"/>
        <v>-20.468859463495477</v>
      </c>
      <c r="H63" s="127" t="s">
        <v>86</v>
      </c>
      <c r="I63" s="116">
        <v>24787187.28</v>
      </c>
      <c r="J63" s="116">
        <v>30963029.24</v>
      </c>
      <c r="K63" s="115">
        <f t="shared" si="23"/>
        <v>6175841.959999997</v>
      </c>
      <c r="L63" s="257">
        <f t="shared" si="24"/>
        <v>24.91546092034044</v>
      </c>
      <c r="M63" s="374">
        <f t="shared" si="22"/>
        <v>-15.525584144658367</v>
      </c>
    </row>
    <row r="64" spans="2:13" ht="14.25" customHeight="1" thickBot="1">
      <c r="B64" s="227" t="s">
        <v>87</v>
      </c>
      <c r="C64" s="364">
        <v>10203811.43</v>
      </c>
      <c r="D64" s="365">
        <v>13055221.52</v>
      </c>
      <c r="E64" s="118">
        <f t="shared" si="17"/>
        <v>2851410.09</v>
      </c>
      <c r="F64" s="260">
        <f t="shared" si="18"/>
        <v>27.944558850006107</v>
      </c>
      <c r="G64" s="389">
        <f t="shared" si="21"/>
        <v>-14.477457168226977</v>
      </c>
      <c r="H64" s="128" t="s">
        <v>87</v>
      </c>
      <c r="I64" s="117">
        <v>24852445.18</v>
      </c>
      <c r="J64" s="117">
        <v>31681652.01</v>
      </c>
      <c r="K64" s="118">
        <f t="shared" si="23"/>
        <v>6829206.830000002</v>
      </c>
      <c r="L64" s="260">
        <f t="shared" si="24"/>
        <v>27.47901375714855</v>
      </c>
      <c r="M64" s="261">
        <f t="shared" si="22"/>
        <v>2.3209058920877084</v>
      </c>
    </row>
    <row r="65" spans="2:12" ht="14.25" thickBot="1" thickTop="1">
      <c r="B65" s="363" t="s">
        <v>7</v>
      </c>
      <c r="C65" s="367">
        <f>SUM(C53:C64)</f>
        <v>180325130.27</v>
      </c>
      <c r="D65" s="367">
        <f>SUM(D53:D64)</f>
        <v>254238121.78</v>
      </c>
      <c r="E65" s="120">
        <f>SUM(E53:E64)</f>
        <v>73912991.51</v>
      </c>
      <c r="F65" s="274">
        <f>E65/C65*100</f>
        <v>40.98873595673017</v>
      </c>
      <c r="H65" s="363" t="s">
        <v>7</v>
      </c>
      <c r="I65" s="367">
        <f>SUM(I53:I64)</f>
        <v>335593702.21999997</v>
      </c>
      <c r="J65" s="367">
        <f>SUM(J53:J64)</f>
        <v>439298048.9000001</v>
      </c>
      <c r="K65" s="120">
        <f>SUM(K53:K64)</f>
        <v>103704346.68</v>
      </c>
      <c r="L65" s="273">
        <f t="shared" si="24"/>
        <v>30.901755901252333</v>
      </c>
    </row>
    <row r="66" spans="3:11" ht="14.25" thickBot="1" thickTop="1">
      <c r="C66" s="366"/>
      <c r="D66" s="1"/>
      <c r="E66" s="1"/>
      <c r="H66" s="122"/>
      <c r="I66" s="366"/>
      <c r="J66" s="1"/>
      <c r="K66" s="1"/>
    </row>
    <row r="67" spans="2:11" ht="14.25" thickBot="1" thickTop="1">
      <c r="B67" s="375" t="s">
        <v>41</v>
      </c>
      <c r="C67" s="315">
        <f>C65/12</f>
        <v>15027094.189166667</v>
      </c>
      <c r="D67" s="315">
        <f>D65/12</f>
        <v>21186510.148333333</v>
      </c>
      <c r="E67" s="1"/>
      <c r="H67" s="375" t="s">
        <v>41</v>
      </c>
      <c r="I67" s="315">
        <f>I65/12</f>
        <v>27966141.851666663</v>
      </c>
      <c r="J67" s="315">
        <f>J65/12</f>
        <v>36608170.741666675</v>
      </c>
      <c r="K67" s="1"/>
    </row>
    <row r="68" ht="13.5" thickTop="1"/>
    <row r="70" spans="2:7" ht="14.25">
      <c r="B70" s="409" t="s">
        <v>101</v>
      </c>
      <c r="C70" s="410"/>
      <c r="D70" s="410"/>
      <c r="E70" s="410"/>
      <c r="F70" s="410"/>
      <c r="G70" s="411"/>
    </row>
    <row r="71" ht="12.75">
      <c r="B71" s="278"/>
    </row>
    <row r="72" spans="2:11" ht="13.5" thickBot="1">
      <c r="B72" s="278"/>
      <c r="G72" s="141">
        <v>2016</v>
      </c>
      <c r="J72" s="417" t="s">
        <v>163</v>
      </c>
      <c r="K72" s="418"/>
    </row>
    <row r="73" spans="2:11" ht="14.25" thickBot="1" thickTop="1">
      <c r="B73" s="278"/>
      <c r="C73" s="408" t="s">
        <v>5</v>
      </c>
      <c r="D73" s="408"/>
      <c r="E73" s="8" t="s">
        <v>76</v>
      </c>
      <c r="F73" s="143" t="s">
        <v>51</v>
      </c>
      <c r="G73" s="144" t="s">
        <v>88</v>
      </c>
      <c r="J73" s="157" t="s">
        <v>94</v>
      </c>
      <c r="K73" s="156">
        <f>C43</f>
        <v>923061309.84</v>
      </c>
    </row>
    <row r="74" spans="2:11" ht="14.25" thickBot="1" thickTop="1">
      <c r="B74" s="279" t="s">
        <v>1</v>
      </c>
      <c r="C74" s="322">
        <v>2016</v>
      </c>
      <c r="D74" s="322">
        <v>2017</v>
      </c>
      <c r="E74" s="8" t="s">
        <v>89</v>
      </c>
      <c r="F74" s="8" t="s">
        <v>20</v>
      </c>
      <c r="G74" s="142" t="s">
        <v>50</v>
      </c>
      <c r="J74" s="158" t="s">
        <v>95</v>
      </c>
      <c r="K74" s="156">
        <f>D43</f>
        <v>1934016723.8599997</v>
      </c>
    </row>
    <row r="75" spans="2:11" ht="14.25" customHeight="1">
      <c r="B75" s="126" t="s">
        <v>77</v>
      </c>
      <c r="C75" s="321">
        <v>16822934.6</v>
      </c>
      <c r="D75" s="321">
        <v>30061741.32</v>
      </c>
      <c r="E75" s="114">
        <f aca="true" t="shared" si="25" ref="E75:E86">D75-C75</f>
        <v>13238806.719999999</v>
      </c>
      <c r="F75" s="259">
        <f aca="true" t="shared" si="26" ref="F75:F86">E75/C75*100</f>
        <v>78.69499011189164</v>
      </c>
      <c r="G75" s="369">
        <f>+D75*100/23955926.28-100</f>
        <v>25.4877017429192</v>
      </c>
      <c r="J75" s="158" t="s">
        <v>3</v>
      </c>
      <c r="K75" s="156">
        <f>D24</f>
        <v>254238121.78</v>
      </c>
    </row>
    <row r="76" spans="2:11" ht="14.25" customHeight="1">
      <c r="B76" s="127" t="s">
        <v>75</v>
      </c>
      <c r="C76" s="211">
        <v>20173862.96</v>
      </c>
      <c r="D76" s="211">
        <v>26767462.06</v>
      </c>
      <c r="E76" s="115">
        <f t="shared" si="25"/>
        <v>6593599.099999998</v>
      </c>
      <c r="F76" s="257">
        <f t="shared" si="26"/>
        <v>32.683869782765676</v>
      </c>
      <c r="G76" s="374">
        <f aca="true" t="shared" si="27" ref="G76:G86">+D76*100/D75-100</f>
        <v>-10.9583780424866</v>
      </c>
      <c r="J76" s="158" t="s">
        <v>4</v>
      </c>
      <c r="K76" s="156">
        <f>E24</f>
        <v>439298048.9000001</v>
      </c>
    </row>
    <row r="77" spans="2:11" ht="14.25" customHeight="1">
      <c r="B77" s="127" t="s">
        <v>78</v>
      </c>
      <c r="C77" s="211">
        <v>22077336.64</v>
      </c>
      <c r="D77" s="211">
        <v>32452687.03</v>
      </c>
      <c r="E77" s="115">
        <f t="shared" si="25"/>
        <v>10375350.39</v>
      </c>
      <c r="F77" s="257">
        <f t="shared" si="26"/>
        <v>46.995480293586716</v>
      </c>
      <c r="G77" s="258">
        <f t="shared" si="27"/>
        <v>21.239312704568007</v>
      </c>
      <c r="J77" s="158" t="s">
        <v>5</v>
      </c>
      <c r="K77" s="156">
        <f>F24</f>
        <v>379229018.75</v>
      </c>
    </row>
    <row r="78" spans="2:11" ht="14.25" customHeight="1">
      <c r="B78" s="127" t="s">
        <v>79</v>
      </c>
      <c r="C78" s="211">
        <v>20714715.19</v>
      </c>
      <c r="D78" s="211">
        <v>30130796.07</v>
      </c>
      <c r="E78" s="115">
        <f t="shared" si="25"/>
        <v>9416080.879999999</v>
      </c>
      <c r="F78" s="257">
        <f t="shared" si="26"/>
        <v>45.455999725960986</v>
      </c>
      <c r="G78" s="374">
        <f t="shared" si="27"/>
        <v>-7.154695566051558</v>
      </c>
      <c r="J78" s="158" t="s">
        <v>46</v>
      </c>
      <c r="K78" s="156">
        <f>G24</f>
        <v>73510974.42</v>
      </c>
    </row>
    <row r="79" spans="2:11" ht="14.25" customHeight="1">
      <c r="B79" s="127" t="s">
        <v>80</v>
      </c>
      <c r="C79" s="211">
        <v>20193967.5</v>
      </c>
      <c r="D79" s="211">
        <v>26620045.65</v>
      </c>
      <c r="E79" s="115">
        <f t="shared" si="25"/>
        <v>6426078.1499999985</v>
      </c>
      <c r="F79" s="257">
        <f t="shared" si="26"/>
        <v>31.82177127897229</v>
      </c>
      <c r="G79" s="374">
        <f t="shared" si="27"/>
        <v>-11.65170150779889</v>
      </c>
      <c r="J79" s="158" t="s">
        <v>93</v>
      </c>
      <c r="K79" s="156">
        <f>H24</f>
        <v>0</v>
      </c>
    </row>
    <row r="80" spans="2:11" ht="14.25" customHeight="1">
      <c r="B80" s="127" t="s">
        <v>81</v>
      </c>
      <c r="C80" s="211">
        <v>18061394.63</v>
      </c>
      <c r="D80" s="211">
        <v>29912593.7</v>
      </c>
      <c r="E80" s="115">
        <f t="shared" si="25"/>
        <v>11851199.07</v>
      </c>
      <c r="F80" s="257">
        <f t="shared" si="26"/>
        <v>65.6161902930527</v>
      </c>
      <c r="G80" s="258">
        <f t="shared" si="27"/>
        <v>12.368679202471625</v>
      </c>
      <c r="J80" s="158" t="s">
        <v>48</v>
      </c>
      <c r="K80" s="156">
        <f>I24</f>
        <v>1817114.78</v>
      </c>
    </row>
    <row r="81" spans="2:11" ht="14.25" customHeight="1">
      <c r="B81" s="127" t="s">
        <v>82</v>
      </c>
      <c r="C81" s="211">
        <v>19928633.04</v>
      </c>
      <c r="D81" s="211">
        <v>33837296.93</v>
      </c>
      <c r="E81" s="115">
        <f t="shared" si="25"/>
        <v>13908663.89</v>
      </c>
      <c r="F81" s="257">
        <f t="shared" si="26"/>
        <v>69.79236288852856</v>
      </c>
      <c r="G81" s="258">
        <f t="shared" si="27"/>
        <v>13.120571453487841</v>
      </c>
      <c r="J81" s="158" t="s">
        <v>35</v>
      </c>
      <c r="K81" s="156">
        <f>I43</f>
        <v>479567921.00000006</v>
      </c>
    </row>
    <row r="82" spans="2:11" ht="14.25" customHeight="1">
      <c r="B82" s="127" t="s">
        <v>83</v>
      </c>
      <c r="C82" s="211">
        <v>23721330.24</v>
      </c>
      <c r="D82" s="211">
        <v>32595441.76</v>
      </c>
      <c r="E82" s="115">
        <f t="shared" si="25"/>
        <v>8874111.520000003</v>
      </c>
      <c r="F82" s="257">
        <f t="shared" si="26"/>
        <v>37.409839289012844</v>
      </c>
      <c r="G82" s="374">
        <f t="shared" si="27"/>
        <v>-3.6700779396446848</v>
      </c>
      <c r="J82" s="158" t="s">
        <v>36</v>
      </c>
      <c r="K82" s="156">
        <f>J43</f>
        <v>49735938.19</v>
      </c>
    </row>
    <row r="83" spans="2:12" ht="14.25" customHeight="1">
      <c r="B83" s="127" t="s">
        <v>84</v>
      </c>
      <c r="C83" s="211">
        <v>27759911.6</v>
      </c>
      <c r="D83" s="211">
        <v>33894580.93</v>
      </c>
      <c r="E83" s="115">
        <f t="shared" si="25"/>
        <v>6134669.329999998</v>
      </c>
      <c r="F83" s="257">
        <f t="shared" si="26"/>
        <v>22.09902329083785</v>
      </c>
      <c r="G83" s="258">
        <f t="shared" si="27"/>
        <v>3.9856467648622527</v>
      </c>
      <c r="J83" s="377" t="s">
        <v>96</v>
      </c>
      <c r="K83" s="234">
        <f>SUM(K73:K82)</f>
        <v>4534475171.52</v>
      </c>
      <c r="L83" s="10"/>
    </row>
    <row r="84" spans="2:12" ht="14.25" customHeight="1" thickBot="1">
      <c r="B84" s="127" t="s">
        <v>85</v>
      </c>
      <c r="C84" s="211">
        <v>25491803.35</v>
      </c>
      <c r="D84" s="211">
        <v>32604562.06</v>
      </c>
      <c r="E84" s="115">
        <f t="shared" si="25"/>
        <v>7112758.709999997</v>
      </c>
      <c r="F84" s="257">
        <f t="shared" si="26"/>
        <v>27.90214019911619</v>
      </c>
      <c r="G84" s="374">
        <f t="shared" si="27"/>
        <v>-3.805973800544052</v>
      </c>
      <c r="J84" s="378"/>
      <c r="K84" s="10"/>
      <c r="L84" s="10"/>
    </row>
    <row r="85" spans="2:12" ht="14.25" customHeight="1" thickTop="1">
      <c r="B85" s="127" t="s">
        <v>86</v>
      </c>
      <c r="C85" s="211">
        <v>23345086.34</v>
      </c>
      <c r="D85" s="211">
        <v>36711721.01</v>
      </c>
      <c r="E85" s="115">
        <f t="shared" si="25"/>
        <v>13366634.669999998</v>
      </c>
      <c r="F85" s="257">
        <f t="shared" si="26"/>
        <v>57.256736922395966</v>
      </c>
      <c r="G85" s="258">
        <f t="shared" si="27"/>
        <v>12.596884271722075</v>
      </c>
      <c r="J85" s="376"/>
      <c r="K85" s="376"/>
      <c r="L85" s="376"/>
    </row>
    <row r="86" spans="2:7" ht="14.25" customHeight="1" thickBot="1">
      <c r="B86" s="128" t="s">
        <v>87</v>
      </c>
      <c r="C86" s="212">
        <v>23955926.28</v>
      </c>
      <c r="D86" s="212">
        <v>33640090.23</v>
      </c>
      <c r="E86" s="118">
        <f t="shared" si="25"/>
        <v>9684163.949999996</v>
      </c>
      <c r="F86" s="260">
        <f t="shared" si="26"/>
        <v>40.42491964956905</v>
      </c>
      <c r="G86" s="389">
        <f t="shared" si="27"/>
        <v>-8.366893993238051</v>
      </c>
    </row>
    <row r="87" spans="2:6" ht="14.25" thickBot="1" thickTop="1">
      <c r="B87" s="121" t="s">
        <v>7</v>
      </c>
      <c r="C87" s="119">
        <f>SUM(C75:C86)</f>
        <v>262246902.37</v>
      </c>
      <c r="D87" s="119">
        <f>SUM(D75:D86)</f>
        <v>379229018.75</v>
      </c>
      <c r="E87" s="120">
        <f>SUM(E75:E86)</f>
        <v>116982116.38</v>
      </c>
      <c r="F87" s="273">
        <f>E87/C87*100</f>
        <v>44.607625608843904</v>
      </c>
    </row>
    <row r="88" spans="3:5" ht="14.25" thickBot="1" thickTop="1">
      <c r="C88" s="314"/>
      <c r="D88" s="1"/>
      <c r="E88" s="1"/>
    </row>
    <row r="89" spans="2:5" ht="14.25" thickBot="1" thickTop="1">
      <c r="B89" s="375" t="s">
        <v>41</v>
      </c>
      <c r="C89" s="320">
        <f>C87/12</f>
        <v>21853908.530833334</v>
      </c>
      <c r="D89" s="320">
        <f>D87/12</f>
        <v>31602418.229166668</v>
      </c>
      <c r="E89" s="1"/>
    </row>
    <row r="90" ht="13.5" thickTop="1"/>
  </sheetData>
  <mergeCells count="20">
    <mergeCell ref="C29:E29"/>
    <mergeCell ref="I29:K29"/>
    <mergeCell ref="O40:S40"/>
    <mergeCell ref="V40:Z40"/>
    <mergeCell ref="AB20:AE20"/>
    <mergeCell ref="E7:J7"/>
    <mergeCell ref="N20:S20"/>
    <mergeCell ref="U20:Z20"/>
    <mergeCell ref="O9:V9"/>
    <mergeCell ref="O11:V11"/>
    <mergeCell ref="O13:V13"/>
    <mergeCell ref="N19:Q19"/>
    <mergeCell ref="C73:D73"/>
    <mergeCell ref="B70:G70"/>
    <mergeCell ref="B48:H48"/>
    <mergeCell ref="C51:D51"/>
    <mergeCell ref="B50:E50"/>
    <mergeCell ref="H50:K50"/>
    <mergeCell ref="J72:K72"/>
    <mergeCell ref="I51:J51"/>
  </mergeCells>
  <printOptions/>
  <pageMargins left="0.3937007874015748" right="0" top="0.3937007874015748" bottom="0" header="0" footer="0"/>
  <pageSetup horizontalDpi="300" verticalDpi="300" orientation="landscape" paperSize="9" r:id="rId2"/>
  <ignoredErrors>
    <ignoredError sqref="T35:Z35 C43:D43 I43:J43 C24:L24" emptyCellReference="1"/>
    <ignoredError sqref="C44:E44 AE35 Y23 V36:Z36 W23 I44" evalError="1"/>
    <ignoredError sqref="C25:L25" emptyCellReference="1" evalError="1"/>
    <ignoredError sqref="AC35:AD35 AD23:AD34" formula="1"/>
    <ignoredError sqref="I65:J65 C65:D65 C87:D8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B9:F50"/>
  <sheetViews>
    <sheetView workbookViewId="0" topLeftCell="A14">
      <selection activeCell="B54" sqref="B54"/>
    </sheetView>
  </sheetViews>
  <sheetFormatPr defaultColWidth="11.421875" defaultRowHeight="12.75"/>
  <cols>
    <col min="1" max="1" width="5.57421875" style="0" customWidth="1"/>
    <col min="2" max="2" width="40.00390625" style="0" customWidth="1"/>
    <col min="3" max="3" width="21.8515625" style="0" customWidth="1"/>
    <col min="4" max="4" width="22.00390625" style="0" customWidth="1"/>
    <col min="5" max="5" width="22.57421875" style="0" customWidth="1"/>
    <col min="6" max="6" width="13.28125" style="0" customWidth="1"/>
  </cols>
  <sheetData>
    <row r="9" spans="2:6" ht="18">
      <c r="B9" s="437" t="s">
        <v>90</v>
      </c>
      <c r="C9" s="437"/>
      <c r="D9" s="437"/>
      <c r="E9" s="437"/>
      <c r="F9" s="437"/>
    </row>
    <row r="10" spans="2:6" ht="15">
      <c r="B10" s="399" t="s">
        <v>164</v>
      </c>
      <c r="C10" s="399"/>
      <c r="D10" s="399"/>
      <c r="E10" s="399"/>
      <c r="F10" s="399"/>
    </row>
    <row r="12" ht="12.75">
      <c r="B12" s="7" t="s">
        <v>53</v>
      </c>
    </row>
    <row r="13" ht="13.5" thickBot="1"/>
    <row r="14" spans="2:6" ht="15.75" thickTop="1">
      <c r="B14" s="10"/>
      <c r="C14" s="327" t="s">
        <v>21</v>
      </c>
      <c r="D14" s="328" t="s">
        <v>21</v>
      </c>
      <c r="E14" s="329" t="s">
        <v>28</v>
      </c>
      <c r="F14" s="131" t="s">
        <v>91</v>
      </c>
    </row>
    <row r="15" spans="2:6" ht="15">
      <c r="B15" s="52" t="s">
        <v>23</v>
      </c>
      <c r="C15" s="330" t="s">
        <v>165</v>
      </c>
      <c r="D15" s="330" t="s">
        <v>96</v>
      </c>
      <c r="E15" s="331" t="s">
        <v>49</v>
      </c>
      <c r="F15" s="326" t="s">
        <v>92</v>
      </c>
    </row>
    <row r="16" spans="2:6" ht="13.5" thickBot="1">
      <c r="B16" s="10"/>
      <c r="C16" s="332"/>
      <c r="D16" s="333"/>
      <c r="E16" s="334" t="s">
        <v>169</v>
      </c>
      <c r="F16" s="131" t="s">
        <v>103</v>
      </c>
    </row>
    <row r="17" spans="2:6" ht="15.75" thickTop="1">
      <c r="B17" s="11" t="s">
        <v>2</v>
      </c>
      <c r="C17" s="111">
        <v>2857078033.7</v>
      </c>
      <c r="D17" s="292">
        <v>2113847237.32</v>
      </c>
      <c r="E17" s="292">
        <f>+C17-D17</f>
        <v>743230796.3799999</v>
      </c>
      <c r="F17" s="387">
        <f>+C17*100/D17-100</f>
        <v>35.160099711003284</v>
      </c>
    </row>
    <row r="18" spans="2:6" ht="15">
      <c r="B18" s="3"/>
      <c r="C18" s="94"/>
      <c r="D18" s="24"/>
      <c r="E18" s="24"/>
      <c r="F18" s="245"/>
    </row>
    <row r="19" spans="2:6" ht="15">
      <c r="B19" s="12" t="s">
        <v>32</v>
      </c>
      <c r="C19" s="94">
        <v>923061309.84</v>
      </c>
      <c r="D19" s="24">
        <v>613963178.09</v>
      </c>
      <c r="E19" s="24">
        <f>+C19-D19</f>
        <v>309098131.75</v>
      </c>
      <c r="F19" s="241">
        <f>+C19*100/D19-100</f>
        <v>50.34473446951401</v>
      </c>
    </row>
    <row r="20" spans="2:6" ht="15">
      <c r="B20" s="12" t="s">
        <v>31</v>
      </c>
      <c r="C20" s="94">
        <v>1934016723.86</v>
      </c>
      <c r="D20" s="24">
        <v>1499884059.23</v>
      </c>
      <c r="E20" s="24">
        <f>+C20-D20</f>
        <v>434132664.6299999</v>
      </c>
      <c r="F20" s="241">
        <f>+C20*100/D20-100</f>
        <v>28.944414867164596</v>
      </c>
    </row>
    <row r="21" spans="2:6" ht="15">
      <c r="B21" s="3"/>
      <c r="C21" s="94"/>
      <c r="D21" s="24"/>
      <c r="E21" s="24"/>
      <c r="F21" s="245"/>
    </row>
    <row r="22" spans="2:6" ht="15">
      <c r="B22" s="11" t="s">
        <v>3</v>
      </c>
      <c r="C22" s="93">
        <v>254238121.78</v>
      </c>
      <c r="D22" s="15">
        <v>180325130.27</v>
      </c>
      <c r="E22" s="15">
        <f>+C22-D22</f>
        <v>73912991.50999999</v>
      </c>
      <c r="F22" s="241">
        <f>+C22*100/D22-100</f>
        <v>40.98873595673015</v>
      </c>
    </row>
    <row r="23" spans="2:6" ht="15">
      <c r="B23" s="3"/>
      <c r="C23" s="94"/>
      <c r="D23" s="24"/>
      <c r="E23" s="24"/>
      <c r="F23" s="245"/>
    </row>
    <row r="24" spans="2:6" ht="15">
      <c r="B24" s="11" t="s">
        <v>4</v>
      </c>
      <c r="C24" s="93">
        <v>439298048.9</v>
      </c>
      <c r="D24" s="15">
        <v>335593702.22</v>
      </c>
      <c r="E24" s="15">
        <f>+C24-D24</f>
        <v>103704346.67999995</v>
      </c>
      <c r="F24" s="241">
        <f>+C24*100/D24-100</f>
        <v>30.9017559012523</v>
      </c>
    </row>
    <row r="25" spans="2:6" ht="15">
      <c r="B25" s="3"/>
      <c r="C25" s="94"/>
      <c r="D25" s="24"/>
      <c r="E25" s="24"/>
      <c r="F25" s="243"/>
    </row>
    <row r="26" spans="2:6" ht="15">
      <c r="B26" s="11" t="s">
        <v>5</v>
      </c>
      <c r="C26" s="93">
        <v>379229018.75</v>
      </c>
      <c r="D26" s="15">
        <v>262246902.37</v>
      </c>
      <c r="E26" s="15">
        <f>+C26-D26</f>
        <v>116982116.38</v>
      </c>
      <c r="F26" s="241">
        <f>+C26*100/D26-100</f>
        <v>44.607625608843904</v>
      </c>
    </row>
    <row r="27" spans="2:6" ht="15">
      <c r="B27" s="3"/>
      <c r="C27" s="94"/>
      <c r="D27" s="24"/>
      <c r="E27" s="24"/>
      <c r="F27" s="243"/>
    </row>
    <row r="28" spans="2:6" ht="15">
      <c r="B28" s="11" t="s">
        <v>46</v>
      </c>
      <c r="C28" s="93">
        <v>73510974.42</v>
      </c>
      <c r="D28" s="15">
        <v>49724594.57</v>
      </c>
      <c r="E28" s="15">
        <f>+C28-D28</f>
        <v>23786379.85</v>
      </c>
      <c r="F28" s="241">
        <f>+C28*100/D28-100</f>
        <v>47.83624694317945</v>
      </c>
    </row>
    <row r="29" spans="2:6" ht="15">
      <c r="B29" s="3"/>
      <c r="C29" s="94"/>
      <c r="D29" s="24"/>
      <c r="E29" s="24"/>
      <c r="F29" s="243"/>
    </row>
    <row r="30" spans="2:6" ht="15">
      <c r="B30" s="11" t="s">
        <v>56</v>
      </c>
      <c r="C30" s="93">
        <v>0</v>
      </c>
      <c r="D30" s="15">
        <v>0</v>
      </c>
      <c r="E30" s="15">
        <f>+C30-D30</f>
        <v>0</v>
      </c>
      <c r="F30" s="241">
        <v>0</v>
      </c>
    </row>
    <row r="31" spans="3:6" ht="15">
      <c r="C31" s="94"/>
      <c r="D31" s="24"/>
      <c r="E31" s="24"/>
      <c r="F31" s="229"/>
    </row>
    <row r="32" spans="2:6" ht="15">
      <c r="B32" s="11" t="s">
        <v>47</v>
      </c>
      <c r="C32" s="93">
        <v>1817114.78</v>
      </c>
      <c r="D32" s="15">
        <v>1522618.77</v>
      </c>
      <c r="E32" s="15">
        <f>+C32-D32</f>
        <v>294496.01</v>
      </c>
      <c r="F32" s="241">
        <f>+C32*100/D32-100</f>
        <v>19.341414660217282</v>
      </c>
    </row>
    <row r="33" spans="3:6" ht="15" thickBot="1">
      <c r="C33" s="94"/>
      <c r="D33" s="24"/>
      <c r="E33" s="97"/>
      <c r="F33" s="246"/>
    </row>
    <row r="34" spans="2:6" ht="16.5" thickBot="1" thickTop="1">
      <c r="B34" s="27" t="s">
        <v>57</v>
      </c>
      <c r="C34" s="147">
        <f>SUM(C19:C33)</f>
        <v>4005171312.3300004</v>
      </c>
      <c r="D34" s="148">
        <f>SUM(D19:D33)</f>
        <v>2943260185.5200005</v>
      </c>
      <c r="E34" s="148">
        <f>+C34-D34</f>
        <v>1061911126.81</v>
      </c>
      <c r="F34" s="241">
        <f>+C34*100/D34-100</f>
        <v>36.07941737649631</v>
      </c>
    </row>
    <row r="35" spans="3:6" ht="15" thickTop="1">
      <c r="C35" s="100"/>
      <c r="D35" s="24"/>
      <c r="E35" s="97"/>
      <c r="F35" s="246"/>
    </row>
    <row r="36" spans="2:6" ht="15">
      <c r="B36" s="11" t="s">
        <v>6</v>
      </c>
      <c r="C36" s="149">
        <v>529303859.19</v>
      </c>
      <c r="D36" s="319">
        <v>381496954.41</v>
      </c>
      <c r="E36" s="15">
        <f>+C36-D36</f>
        <v>147806904.77999997</v>
      </c>
      <c r="F36" s="241">
        <f>+C36*100/D36-100</f>
        <v>38.74392785352353</v>
      </c>
    </row>
    <row r="37" spans="3:6" ht="14.25" thickBot="1">
      <c r="C37" s="100"/>
      <c r="D37" s="1"/>
      <c r="E37" s="97"/>
      <c r="F37" s="28"/>
    </row>
    <row r="38" spans="2:6" ht="24" thickBot="1" thickTop="1">
      <c r="B38" s="150" t="s">
        <v>27</v>
      </c>
      <c r="C38" s="335">
        <f>+C34+C36</f>
        <v>4534475171.52</v>
      </c>
      <c r="D38" s="336">
        <f>+D34+D36</f>
        <v>3324757139.9300003</v>
      </c>
      <c r="E38" s="337">
        <f>+C38-D38</f>
        <v>1209718031.5900002</v>
      </c>
      <c r="F38" s="386">
        <f>+C38*100/D38-100</f>
        <v>36.38515478503402</v>
      </c>
    </row>
    <row r="39" spans="2:6" ht="21.75" customHeight="1" thickTop="1">
      <c r="B39" s="122"/>
      <c r="F39" s="247"/>
    </row>
    <row r="40" spans="2:6" ht="13.5" thickBot="1">
      <c r="B40" s="2" t="s">
        <v>166</v>
      </c>
      <c r="C40" s="151" t="s">
        <v>35</v>
      </c>
      <c r="D40" s="151" t="s">
        <v>36</v>
      </c>
      <c r="E40" s="13" t="s">
        <v>165</v>
      </c>
      <c r="F40" s="247"/>
    </row>
    <row r="41" spans="2:6" ht="14.25" thickBot="1" thickTop="1">
      <c r="B41" s="152"/>
      <c r="C41" s="155">
        <v>479567921</v>
      </c>
      <c r="D41" s="155">
        <v>49735938.19</v>
      </c>
      <c r="E41" s="72">
        <f>SUM(C41:D41)</f>
        <v>529303859.19</v>
      </c>
      <c r="F41" s="247"/>
    </row>
    <row r="42" spans="2:6" ht="13.5" thickTop="1">
      <c r="B42" s="153" t="s">
        <v>42</v>
      </c>
      <c r="C42" s="250">
        <f>C41*100/E41</f>
        <v>90.60351869224768</v>
      </c>
      <c r="D42" s="250">
        <f>D41*100/E41</f>
        <v>9.396481307752317</v>
      </c>
      <c r="E42" s="20">
        <f>E41*100/E41</f>
        <v>100</v>
      </c>
      <c r="F42" s="248"/>
    </row>
    <row r="43" spans="2:6" ht="17.25">
      <c r="B43" s="122"/>
      <c r="F43" s="384">
        <f>+E41*100/E45-100</f>
        <v>38.74392785352356</v>
      </c>
    </row>
    <row r="44" spans="2:6" ht="13.5" thickBot="1">
      <c r="B44" s="2" t="s">
        <v>97</v>
      </c>
      <c r="C44" s="151" t="s">
        <v>35</v>
      </c>
      <c r="D44" s="151" t="s">
        <v>36</v>
      </c>
      <c r="E44" s="13" t="s">
        <v>96</v>
      </c>
      <c r="F44" s="154"/>
    </row>
    <row r="45" spans="2:5" ht="14.25" thickBot="1" thickTop="1">
      <c r="B45" s="152"/>
      <c r="C45" s="155">
        <v>344208264.26</v>
      </c>
      <c r="D45" s="155">
        <v>37288690.15</v>
      </c>
      <c r="E45" s="318">
        <f>SUM(C45:D45)</f>
        <v>381496954.40999997</v>
      </c>
    </row>
    <row r="46" spans="2:5" ht="13.5" thickTop="1">
      <c r="B46" s="153" t="s">
        <v>42</v>
      </c>
      <c r="C46" s="250">
        <f>C45*100/E45</f>
        <v>90.22569126202636</v>
      </c>
      <c r="D46" s="250">
        <f>D45*100/E45</f>
        <v>9.774308737973655</v>
      </c>
      <c r="E46" s="20">
        <f>E45*100/E45</f>
        <v>100.00000000000001</v>
      </c>
    </row>
    <row r="47" ht="12.75">
      <c r="B47" s="122"/>
    </row>
    <row r="48" spans="2:4" ht="17.25">
      <c r="B48" s="325" t="s">
        <v>167</v>
      </c>
      <c r="C48" s="385">
        <f>+C41*100/C45-100</f>
        <v>39.32492935084068</v>
      </c>
      <c r="D48" s="385">
        <f>+D41*100/D45-100</f>
        <v>33.38075966178715</v>
      </c>
    </row>
    <row r="49" ht="12.75">
      <c r="E49" s="1"/>
    </row>
    <row r="50" spans="3:5" ht="15">
      <c r="C50" s="438" t="s">
        <v>168</v>
      </c>
      <c r="D50" s="438"/>
      <c r="E50" s="438"/>
    </row>
  </sheetData>
  <mergeCells count="3">
    <mergeCell ref="B9:F9"/>
    <mergeCell ref="B10:F10"/>
    <mergeCell ref="C50:E50"/>
  </mergeCells>
  <printOptions/>
  <pageMargins left="0" right="0" top="0.984251968503937" bottom="0" header="0" footer="0"/>
  <pageSetup horizontalDpi="600" verticalDpi="600" orientation="portrait" paperSize="9" r:id="rId2"/>
  <ignoredErrors>
    <ignoredError sqref="C42:E4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lperosa</cp:lastModifiedBy>
  <cp:lastPrinted>2015-08-12T12:25:16Z</cp:lastPrinted>
  <dcterms:created xsi:type="dcterms:W3CDTF">2001-02-06T21:56:10Z</dcterms:created>
  <dcterms:modified xsi:type="dcterms:W3CDTF">2018-01-10T15:28:10Z</dcterms:modified>
  <cp:category/>
  <cp:version/>
  <cp:contentType/>
  <cp:contentStatus/>
</cp:coreProperties>
</file>