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960" windowWidth="7608" windowHeight="5268" tabRatio="64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INTERANUAL" sheetId="6" r:id="rId6"/>
  </sheets>
  <definedNames>
    <definedName name="_xlnm.Print_Area" localSheetId="0">'Hoja1'!$A$2:$M$118</definedName>
    <definedName name="_xlnm.Print_Area" localSheetId="1">'Hoja2'!$A$6:$H$43</definedName>
    <definedName name="_xlnm.Print_Area" localSheetId="2">'Hoja3'!$B$3:$K$49</definedName>
    <definedName name="_xlnm.Print_Area" localSheetId="3">'Hoja4'!$B$3:$K$49</definedName>
    <definedName name="_xlnm.Print_Area" localSheetId="4">'Hoja5'!$B$3:$L$44</definedName>
    <definedName name="_xlnm.Print_Area" localSheetId="5">'INTERANUAL'!$D$103</definedName>
  </definedNames>
  <calcPr fullCalcOnLoad="1"/>
</workbook>
</file>

<file path=xl/sharedStrings.xml><?xml version="1.0" encoding="utf-8"?>
<sst xmlns="http://schemas.openxmlformats.org/spreadsheetml/2006/main" count="399" uniqueCount="172">
  <si>
    <t xml:space="preserve">EXPRESADO EN PESOS </t>
  </si>
  <si>
    <t>MES</t>
  </si>
  <si>
    <t>INGRESOS BRUTOS</t>
  </si>
  <si>
    <t>INMOBILIARIO</t>
  </si>
  <si>
    <t>AUTOMOTOR</t>
  </si>
  <si>
    <t>SELLOS</t>
  </si>
  <si>
    <t>OTROS INGRESOS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</si>
  <si>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</si>
  <si>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</si>
  <si>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</si>
  <si>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</si>
  <si>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</si>
  <si>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</si>
  <si>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</si>
  <si>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</si>
  <si>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</si>
  <si>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</si>
  <si>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</si>
  <si>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</si>
  <si>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</si>
  <si>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</t>
  </si>
  <si>
    <t>RECAUDACION</t>
  </si>
  <si>
    <t>RELACION</t>
  </si>
  <si>
    <t>IMPUESTO</t>
  </si>
  <si>
    <t>%   MES</t>
  </si>
  <si>
    <t>%  AÑO</t>
  </si>
  <si>
    <t>ANTERIOR</t>
  </si>
  <si>
    <t>RECAUDACION GENERAL</t>
  </si>
  <si>
    <t>RELACION EN</t>
  </si>
  <si>
    <t>RELACION EN PORCENTAJES</t>
  </si>
  <si>
    <t>AÑO BASE</t>
  </si>
  <si>
    <t xml:space="preserve">             CONVENIO MULTILATERAL</t>
  </si>
  <si>
    <t xml:space="preserve">             LOCAL</t>
  </si>
  <si>
    <t>ACUMULADO</t>
  </si>
  <si>
    <t>INGR. BRUTOS</t>
  </si>
  <si>
    <t>LOTE HOGAR</t>
  </si>
  <si>
    <t>VIALIDAD</t>
  </si>
  <si>
    <t>DETALLE OTROS INGRESOS</t>
  </si>
  <si>
    <t>TOTAL GRAL.</t>
  </si>
  <si>
    <t xml:space="preserve">  </t>
  </si>
  <si>
    <t xml:space="preserve">      COMPARATIVO AÑOS ANTERIORES </t>
  </si>
  <si>
    <t>PROMEDIO</t>
  </si>
  <si>
    <t xml:space="preserve">                                     %</t>
  </si>
  <si>
    <t>COMPARATIVO AÑOS ANTERIORES</t>
  </si>
  <si>
    <t>SET</t>
  </si>
  <si>
    <t>TOTALES</t>
  </si>
  <si>
    <t>ACCION SOCIAL</t>
  </si>
  <si>
    <t>VARIOS /Fiscalia - Eventuales)</t>
  </si>
  <si>
    <t>VARIOS</t>
  </si>
  <si>
    <t>PESOS</t>
  </si>
  <si>
    <t>MES ANTERIOR</t>
  </si>
  <si>
    <t>AÑO ANTERIOR</t>
  </si>
  <si>
    <t xml:space="preserve">  ANALISIS DE RECAUDACION</t>
  </si>
  <si>
    <t>EXPRESADO EN PESOS Y PORCENTAJES</t>
  </si>
  <si>
    <t xml:space="preserve">ACCION SOCIAL </t>
  </si>
  <si>
    <t>.</t>
  </si>
  <si>
    <t>PLAN DE PAGO</t>
  </si>
  <si>
    <t>SUBTOTAL</t>
  </si>
  <si>
    <t>INGRESOS</t>
  </si>
  <si>
    <t>ACCION</t>
  </si>
  <si>
    <t>PLAN DE</t>
  </si>
  <si>
    <t>OTROS</t>
  </si>
  <si>
    <t>BRUTOS</t>
  </si>
  <si>
    <t>SOCIAL</t>
  </si>
  <si>
    <t>PAGO</t>
  </si>
  <si>
    <t>(FISC. - EVENT.)</t>
  </si>
  <si>
    <t>SUB TOTAL</t>
  </si>
  <si>
    <t>LOCAL</t>
  </si>
  <si>
    <t>CONVENIO</t>
  </si>
  <si>
    <t xml:space="preserve">RECAUDACION INGRESOS BRUTOS </t>
  </si>
  <si>
    <t>PORCENTAJES Y DIFERENCIAS</t>
  </si>
  <si>
    <t xml:space="preserve"> </t>
  </si>
  <si>
    <t>I.B. LOCAL</t>
  </si>
  <si>
    <t xml:space="preserve">VARIACION </t>
  </si>
  <si>
    <t>MENSUAL</t>
  </si>
  <si>
    <t>FEBRERO</t>
  </si>
  <si>
    <t>DIFERENCIA</t>
  </si>
  <si>
    <t>ENERO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</si>
  <si>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</si>
  <si>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</si>
  <si>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</si>
  <si>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</si>
  <si>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</si>
  <si>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</si>
  <si>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</si>
  <si>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</si>
  <si>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</si>
  <si>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</si>
  <si>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DIFEREN. EN %</t>
  </si>
  <si>
    <t>INTERANUAL</t>
  </si>
  <si>
    <t>ANALISIS DE RECAUDACION INTERANUAL</t>
  </si>
  <si>
    <t>RELACION %</t>
  </si>
  <si>
    <t>AÑOS</t>
  </si>
  <si>
    <t>PLAN DE PAGOS</t>
  </si>
  <si>
    <t>IN. BRUTOS LOCAL</t>
  </si>
  <si>
    <t>C. MULTILATERAL</t>
  </si>
  <si>
    <t>AÑO 2015</t>
  </si>
  <si>
    <t>TOTAL 2015</t>
  </si>
  <si>
    <t>DETALLE OTROS INGRESOS TOTAL 2015</t>
  </si>
  <si>
    <t>RECAUDACION  AÑO 2016</t>
  </si>
  <si>
    <t>RECAUDACION   AÑO   2016</t>
  </si>
  <si>
    <t>COMPARATIVO INMOBILIARIO   -  AUTOMOTOR   2015  -  2016</t>
  </si>
  <si>
    <t>FEBRERO 2016 - VTO. PAGO ANUAL - SEMESTRAL</t>
  </si>
  <si>
    <t>MARZO 2016 - VTO. PAGO ANUAL - SEMESTRAL</t>
  </si>
  <si>
    <t xml:space="preserve">COMPARATIVO  2015  -  2016  IMP. DE SELLOS </t>
  </si>
  <si>
    <t>COMPARATIVO I.B. LOCAL - CONVENIO      2015  -  2016</t>
  </si>
  <si>
    <t>AÑO 2016</t>
  </si>
  <si>
    <t>DIFERENCIA 2015  -  2016  -  PORCENTAJES</t>
  </si>
  <si>
    <t>TOTAL 2016</t>
  </si>
  <si>
    <t>NOVIEMBRE   2016</t>
  </si>
  <si>
    <t>RECAUDACION TOTAL AÑO 2016 -</t>
  </si>
  <si>
    <t>MES DE DICIEMBRE DEL AÑO 2016</t>
  </si>
  <si>
    <t>DICIEMBRE   2016</t>
  </si>
  <si>
    <t>DICIEMBRE   2015</t>
  </si>
  <si>
    <t xml:space="preserve">     RECAUDACION MES DE DICIEMBRE DEL 2016</t>
  </si>
  <si>
    <t xml:space="preserve"> CON DICIEMBRE DE 1993</t>
  </si>
  <si>
    <t xml:space="preserve"> CON DICIEMBRE DE 1994</t>
  </si>
  <si>
    <t xml:space="preserve"> CON DICIEMBRE DE 1995</t>
  </si>
  <si>
    <t xml:space="preserve"> CON DICIEMBRE DE 1996</t>
  </si>
  <si>
    <t xml:space="preserve"> CON DICIEMBRE DE 1997</t>
  </si>
  <si>
    <t xml:space="preserve"> CON DICIEMBRE DE 1998</t>
  </si>
  <si>
    <t xml:space="preserve"> CON DICIEMBRE DE 1999</t>
  </si>
  <si>
    <t xml:space="preserve"> CON DICIEMBRE DE 2000</t>
  </si>
  <si>
    <t xml:space="preserve"> CON DICIEMBRE DE 2001</t>
  </si>
  <si>
    <t xml:space="preserve"> CON DICIEMBRE DE 2002</t>
  </si>
  <si>
    <t xml:space="preserve"> CON DICIEMBRE DE 2003</t>
  </si>
  <si>
    <t xml:space="preserve"> CON DICIEMBRE DE 2004</t>
  </si>
  <si>
    <t xml:space="preserve"> CON DICIEMBRE DE 2005</t>
  </si>
  <si>
    <t xml:space="preserve"> CON DICIEMBRE DE 2006</t>
  </si>
  <si>
    <t xml:space="preserve"> CON DICIEMBRE DE 2007</t>
  </si>
  <si>
    <t xml:space="preserve"> CON DICIEMBRE DE 2008</t>
  </si>
  <si>
    <t xml:space="preserve"> CON DICIEMBRE DE 2009</t>
  </si>
  <si>
    <t xml:space="preserve"> CON DICIEMBRE DE 2010</t>
  </si>
  <si>
    <t xml:space="preserve"> CON DICIEMBRE DE 2011</t>
  </si>
  <si>
    <t xml:space="preserve"> CON DICIEMBRE DE 2012</t>
  </si>
  <si>
    <t xml:space="preserve"> CON DICIEMBRE DE 2013</t>
  </si>
  <si>
    <t xml:space="preserve"> CON DICIEMBRE DE 2014</t>
  </si>
  <si>
    <t xml:space="preserve"> CON DICIEMBRE DE 2015</t>
  </si>
  <si>
    <t xml:space="preserve">            DICIEMBRE DE 2016</t>
  </si>
  <si>
    <t xml:space="preserve"> RECAUDACION ACUMULADA AL MES DE DICIEMBRE DEL 2016</t>
  </si>
  <si>
    <t>A DICIEMBRE</t>
  </si>
  <si>
    <t xml:space="preserve"> ACUM. A DICIEMBRE DE 1993</t>
  </si>
  <si>
    <t xml:space="preserve"> ACUM. A DICIEMBRE DE 1994</t>
  </si>
  <si>
    <t xml:space="preserve"> ACUM. A DICIEMBRE DE 1995</t>
  </si>
  <si>
    <t xml:space="preserve"> ACUM. A DICIEMBRE DE 1996</t>
  </si>
  <si>
    <t xml:space="preserve"> ACUM. A DICIEMBRE DE 1997</t>
  </si>
  <si>
    <t xml:space="preserve"> ACUM. A DICIEMBRE DE 1998</t>
  </si>
  <si>
    <t xml:space="preserve"> ACUM. A DICIEMBRE DE 1999</t>
  </si>
  <si>
    <t xml:space="preserve"> ACUM. A DICIEMBRE DE 2000</t>
  </si>
  <si>
    <t xml:space="preserve"> ACUM. A DICIEMBRE DE 2001</t>
  </si>
  <si>
    <t xml:space="preserve"> ACUM. A DICIEMBRE DE 2002</t>
  </si>
  <si>
    <t xml:space="preserve"> ACUM. A DICIEMBRE DE 2003</t>
  </si>
  <si>
    <t xml:space="preserve"> ACUM. A DICIEMBRE DE 2004</t>
  </si>
  <si>
    <t xml:space="preserve"> ACUM. A DICIEMBRE DE 2005</t>
  </si>
  <si>
    <t xml:space="preserve"> ACUM. A DICIEMBRE DE 2006</t>
  </si>
  <si>
    <t xml:space="preserve"> ACUM. A DICIEMBRE DE 2007</t>
  </si>
  <si>
    <t xml:space="preserve"> ACUM. A DICIEMBRE DE 2008</t>
  </si>
  <si>
    <t xml:space="preserve"> ACUM. A DICIEMBRE DE 2009</t>
  </si>
  <si>
    <t xml:space="preserve"> ACUM. A DICIEMBRE DE 2010</t>
  </si>
  <si>
    <t xml:space="preserve"> ACUM. A DICIEMBRE DE 2011</t>
  </si>
  <si>
    <t xml:space="preserve"> ACUM. A DICIEMBRE DE 2012</t>
  </si>
  <si>
    <t xml:space="preserve"> ACUM. A DICIEMBRE DE 2013</t>
  </si>
  <si>
    <t xml:space="preserve"> ACUM. A DICIEMBRE DE 2014</t>
  </si>
  <si>
    <t xml:space="preserve"> ACUM. A DICIEMBRE DE 2015</t>
  </si>
  <si>
    <t xml:space="preserve">    ACUM. A DICIEMBRE DE 2016</t>
  </si>
  <si>
    <t>RECAUDACION TOTAL 2016</t>
  </si>
  <si>
    <t>TOTALES AÑO 2015  -  2016</t>
  </si>
  <si>
    <t>TOTAL 2015 - 2016</t>
  </si>
  <si>
    <t>2015 - 2016</t>
  </si>
  <si>
    <t>DETALLE OTROS INGRESOS TOTAL 2016</t>
  </si>
  <si>
    <t>DIFERENCIA 2015  -  2016  EN %</t>
  </si>
  <si>
    <t>AÑO 2016 DATOS TOTALES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</si>
</sst>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;[Red]#,##0"/>
    <numFmt numFmtId="182" formatCode="h:mm"/>
    <numFmt numFmtId="183" formatCode="0_);\(0\)"/>
    <numFmt numFmtId="184" formatCode="0_);[Red]\(0\)"/>
    <numFmt numFmtId="185" formatCode="0.0"/>
    <numFmt numFmtId="186" formatCode="#,##0.0_);[Red]\(#,##0.0\)"/>
    <numFmt numFmtId="187" formatCode="0.0000000000"/>
    <numFmt numFmtId="188" formatCode="0.00000000000"/>
    <numFmt numFmtId="189" formatCode="0.000000000"/>
    <numFmt numFmtId="190" formatCode="0.00000000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d/m"/>
    <numFmt numFmtId="197" formatCode="mmmm\-yy"/>
    <numFmt numFmtId="198" formatCode="mmmmm"/>
    <numFmt numFmtId="199" formatCode="0.0000000"/>
    <numFmt numFmtId="200" formatCode="_(* #,##0.000_);_(* \(#,##0.000\);_(* &quot;-&quot;??_);_(@_)"/>
    <numFmt numFmtId="201" formatCode="mmm\-yyyy"/>
    <numFmt numFmtId="202" formatCode="d\-m\-yyyy"/>
    <numFmt numFmtId="203" formatCode="dd\-mm\-yy"/>
    <numFmt numFmtId="204" formatCode="0.000000%"/>
    <numFmt numFmtId="205" formatCode="0.000%"/>
    <numFmt numFmtId="206" formatCode="#,##0.000"/>
    <numFmt numFmtId="207" formatCode="_(* #,##0.0000_);_(* \(#,##0.0000\);_(* &quot;-&quot;??_);_(@_)"/>
    <numFmt numFmtId="208" formatCode="_ [$€-2]\ * #,##0.00_ ;_ [$€-2]\ * \-#,##0.00_ ;_ [$€-2]\ * &quot;-&quot;??_ "/>
    <numFmt numFmtId="209" formatCode="&quot;$&quot;\ #,##0.00"/>
    <numFmt numFmtId="210" formatCode="_(* #,##0.00_);_(* \(#,##0.00\);_(* \-??_);_(@_)"/>
    <numFmt numFmtId="211" formatCode="#,##0.0"/>
    <numFmt numFmtId="212" formatCode="_ * #,##0.0000_ ;_ * \-#,##0.0000_ ;_ * &quot;-&quot;????_ ;_ @_ "/>
    <numFmt numFmtId="213" formatCode="#,##0.0000"/>
    <numFmt numFmtId="214" formatCode="_ [$$-2C0A]\ * #,##0.00_ ;_ [$$-2C0A]\ * \-#,##0.00_ ;_ [$$-2C0A]\ * \-??_ ;_ @_ "/>
    <numFmt numFmtId="215" formatCode="mm/yy"/>
    <numFmt numFmtId="216" formatCode="dd/mmm"/>
    <numFmt numFmtId="217" formatCode="#,##0.00_ ;\-#,##0.00\ "/>
    <numFmt numFmtId="218" formatCode="_(\$* #,##0.00_);_(\$* \(#,##0.00\);_(\$* \-??_);_(@_)"/>
    <numFmt numFmtId="219" formatCode="#,##0.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</numFmts>
  <fonts count="5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7"/>
      <name val="Arial"/>
      <family val="0"/>
    </font>
    <font>
      <sz val="16"/>
      <name val="Arial"/>
      <family val="0"/>
    </font>
    <font>
      <b/>
      <sz val="5.5"/>
      <name val="Arial"/>
      <family val="2"/>
    </font>
    <font>
      <sz val="15.5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6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.25"/>
      <name val="Arial"/>
      <family val="2"/>
    </font>
    <font>
      <b/>
      <sz val="10"/>
      <name val="Batang"/>
      <family val="1"/>
    </font>
    <font>
      <b/>
      <sz val="5.25"/>
      <name val="Arial"/>
      <family val="2"/>
    </font>
    <font>
      <b/>
      <sz val="6.5"/>
      <name val="Arial"/>
      <family val="2"/>
    </font>
    <font>
      <b/>
      <sz val="5.75"/>
      <name val="Arial"/>
      <family val="2"/>
    </font>
    <font>
      <sz val="9.25"/>
      <name val="Arial"/>
      <family val="0"/>
    </font>
    <font>
      <b/>
      <sz val="14"/>
      <name val="Baskerville Old Face"/>
      <family val="1"/>
    </font>
    <font>
      <b/>
      <sz val="14"/>
      <name val="Arial"/>
      <family val="2"/>
    </font>
    <font>
      <sz val="11.75"/>
      <name val="Arial"/>
      <family val="0"/>
    </font>
    <font>
      <b/>
      <sz val="14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b/>
      <sz val="14"/>
      <name val="Calisto MT"/>
      <family val="1"/>
    </font>
    <font>
      <b/>
      <sz val="16"/>
      <name val="Book Antiqua"/>
      <family val="1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12"/>
      <color indexed="19"/>
      <name val="Book Antiqua"/>
      <family val="1"/>
    </font>
    <font>
      <b/>
      <sz val="18"/>
      <color indexed="12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5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50"/>
      </left>
      <right>
        <color indexed="63"/>
      </right>
      <top style="double">
        <color indexed="50"/>
      </top>
      <bottom>
        <color indexed="63"/>
      </bottom>
    </border>
    <border>
      <left style="double">
        <color indexed="50"/>
      </left>
      <right>
        <color indexed="63"/>
      </right>
      <top>
        <color indexed="63"/>
      </top>
      <bottom>
        <color indexed="63"/>
      </bottom>
    </border>
    <border>
      <left style="double">
        <color indexed="50"/>
      </left>
      <right>
        <color indexed="63"/>
      </right>
      <top>
        <color indexed="63"/>
      </top>
      <bottom style="double">
        <color indexed="50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12"/>
      </top>
      <bottom style="thin"/>
    </border>
    <border>
      <left style="double">
        <color indexed="19"/>
      </left>
      <right>
        <color indexed="63"/>
      </right>
      <top style="double">
        <color indexed="19"/>
      </top>
      <bottom style="double">
        <color indexed="19"/>
      </bottom>
    </border>
    <border>
      <left>
        <color indexed="63"/>
      </left>
      <right style="double">
        <color indexed="19"/>
      </right>
      <top style="double">
        <color indexed="19"/>
      </top>
      <bottom style="double">
        <color indexed="19"/>
      </bottom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2"/>
      </left>
      <right style="double">
        <color indexed="8"/>
      </right>
      <top style="double">
        <color indexed="12"/>
      </top>
      <bottom style="double">
        <color indexed="12"/>
      </bottom>
    </border>
    <border>
      <left style="double">
        <color indexed="8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0" fillId="3" borderId="0" xfId="0" applyFill="1" applyAlignment="1">
      <alignment/>
    </xf>
    <xf numFmtId="4" fontId="3" fillId="4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4" borderId="4" xfId="0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4" fontId="3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3" borderId="8" xfId="0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0" xfId="0" applyFill="1" applyAlignment="1">
      <alignment/>
    </xf>
    <xf numFmtId="4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9" fillId="4" borderId="11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4" fontId="0" fillId="4" borderId="0" xfId="0" applyNumberFormat="1" applyFont="1" applyFill="1" applyAlignment="1">
      <alignment/>
    </xf>
    <xf numFmtId="3" fontId="3" fillId="5" borderId="11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4" borderId="2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" fontId="16" fillId="0" borderId="6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4" borderId="23" xfId="0" applyNumberFormat="1" applyFont="1" applyFill="1" applyBorder="1" applyAlignment="1">
      <alignment/>
    </xf>
    <xf numFmtId="4" fontId="8" fillId="0" borderId="2" xfId="0" applyNumberFormat="1" applyFont="1" applyBorder="1" applyAlignment="1">
      <alignment/>
    </xf>
    <xf numFmtId="4" fontId="16" fillId="0" borderId="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4" borderId="24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2" fillId="3" borderId="19" xfId="0" applyNumberFormat="1" applyFont="1" applyFill="1" applyBorder="1" applyAlignment="1">
      <alignment horizontal="center"/>
    </xf>
    <xf numFmtId="4" fontId="2" fillId="4" borderId="19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26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171" fontId="2" fillId="0" borderId="20" xfId="18" applyFont="1" applyBorder="1" applyAlignment="1">
      <alignment horizontal="center"/>
    </xf>
    <xf numFmtId="4" fontId="16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8" fillId="0" borderId="26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" fontId="0" fillId="0" borderId="2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2" fillId="4" borderId="16" xfId="0" applyFont="1" applyFill="1" applyBorder="1" applyAlignment="1">
      <alignment horizontal="center"/>
    </xf>
    <xf numFmtId="4" fontId="2" fillId="4" borderId="29" xfId="0" applyNumberFormat="1" applyFont="1" applyFill="1" applyBorder="1" applyAlignment="1">
      <alignment/>
    </xf>
    <xf numFmtId="4" fontId="2" fillId="4" borderId="30" xfId="0" applyNumberFormat="1" applyFont="1" applyFill="1" applyBorder="1" applyAlignment="1">
      <alignment/>
    </xf>
    <xf numFmtId="4" fontId="3" fillId="0" borderId="31" xfId="18" applyNumberFormat="1" applyFont="1" applyBorder="1" applyAlignment="1">
      <alignment horizontal="center"/>
    </xf>
    <xf numFmtId="4" fontId="19" fillId="3" borderId="2" xfId="0" applyNumberFormat="1" applyFont="1" applyFill="1" applyBorder="1" applyAlignment="1">
      <alignment/>
    </xf>
    <xf numFmtId="4" fontId="19" fillId="3" borderId="0" xfId="0" applyNumberFormat="1" applyFont="1" applyFill="1" applyAlignment="1">
      <alignment/>
    </xf>
    <xf numFmtId="4" fontId="19" fillId="3" borderId="0" xfId="20" applyNumberFormat="1" applyFont="1" applyFill="1" applyAlignment="1">
      <alignment/>
    </xf>
    <xf numFmtId="4" fontId="19" fillId="3" borderId="0" xfId="15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6" fillId="6" borderId="19" xfId="0" applyNumberFormat="1" applyFont="1" applyFill="1" applyBorder="1" applyAlignment="1">
      <alignment/>
    </xf>
    <xf numFmtId="4" fontId="6" fillId="4" borderId="19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6" fillId="0" borderId="19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32" xfId="18" applyNumberFormat="1" applyFont="1" applyFill="1" applyBorder="1" applyAlignment="1" applyProtection="1">
      <alignment/>
      <protection/>
    </xf>
    <xf numFmtId="4" fontId="3" fillId="0" borderId="33" xfId="18" applyNumberFormat="1" applyFont="1" applyFill="1" applyBorder="1" applyAlignment="1" applyProtection="1">
      <alignment/>
      <protection/>
    </xf>
    <xf numFmtId="4" fontId="3" fillId="0" borderId="34" xfId="18" applyNumberFormat="1" applyFont="1" applyFill="1" applyBorder="1" applyAlignment="1" applyProtection="1">
      <alignment/>
      <protection/>
    </xf>
    <xf numFmtId="4" fontId="3" fillId="7" borderId="34" xfId="18" applyNumberFormat="1" applyFont="1" applyFill="1" applyBorder="1" applyAlignment="1" applyProtection="1">
      <alignment/>
      <protection/>
    </xf>
    <xf numFmtId="4" fontId="3" fillId="7" borderId="33" xfId="18" applyNumberFormat="1" applyFont="1" applyFill="1" applyBorder="1" applyAlignment="1" applyProtection="1">
      <alignment/>
      <protection/>
    </xf>
    <xf numFmtId="4" fontId="3" fillId="7" borderId="35" xfId="18" applyNumberFormat="1" applyFont="1" applyFill="1" applyBorder="1" applyAlignment="1" applyProtection="1">
      <alignment/>
      <protection/>
    </xf>
    <xf numFmtId="193" fontId="0" fillId="0" borderId="0" xfId="0" applyNumberFormat="1" applyAlignment="1">
      <alignment/>
    </xf>
    <xf numFmtId="0" fontId="5" fillId="4" borderId="36" xfId="0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4" fontId="19" fillId="8" borderId="2" xfId="0" applyNumberFormat="1" applyFont="1" applyFill="1" applyBorder="1" applyAlignment="1">
      <alignment/>
    </xf>
    <xf numFmtId="4" fontId="19" fillId="3" borderId="6" xfId="0" applyNumberFormat="1" applyFont="1" applyFill="1" applyBorder="1" applyAlignment="1">
      <alignment/>
    </xf>
    <xf numFmtId="0" fontId="3" fillId="9" borderId="35" xfId="0" applyFont="1" applyFill="1" applyBorder="1" applyAlignment="1">
      <alignment horizontal="center"/>
    </xf>
    <xf numFmtId="4" fontId="0" fillId="0" borderId="37" xfId="0" applyNumberFormat="1" applyBorder="1" applyAlignment="1">
      <alignment/>
    </xf>
    <xf numFmtId="4" fontId="3" fillId="7" borderId="38" xfId="0" applyNumberFormat="1" applyFont="1" applyFill="1" applyBorder="1" applyAlignment="1">
      <alignment/>
    </xf>
    <xf numFmtId="4" fontId="3" fillId="7" borderId="33" xfId="0" applyNumberFormat="1" applyFont="1" applyFill="1" applyBorder="1" applyAlignment="1">
      <alignment/>
    </xf>
    <xf numFmtId="4" fontId="0" fillId="7" borderId="39" xfId="0" applyNumberFormat="1" applyFill="1" applyBorder="1" applyAlignment="1">
      <alignment/>
    </xf>
    <xf numFmtId="4" fontId="0" fillId="7" borderId="40" xfId="0" applyNumberFormat="1" applyFill="1" applyBorder="1" applyAlignment="1">
      <alignment/>
    </xf>
    <xf numFmtId="4" fontId="3" fillId="7" borderId="41" xfId="0" applyNumberFormat="1" applyFont="1" applyFill="1" applyBorder="1" applyAlignment="1">
      <alignment/>
    </xf>
    <xf numFmtId="4" fontId="0" fillId="7" borderId="42" xfId="0" applyNumberForma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4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4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1" xfId="0" applyFont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4" fontId="0" fillId="7" borderId="45" xfId="0" applyNumberFormat="1" applyFill="1" applyBorder="1" applyAlignment="1">
      <alignment/>
    </xf>
    <xf numFmtId="4" fontId="0" fillId="7" borderId="46" xfId="0" applyNumberFormat="1" applyFill="1" applyBorder="1" applyAlignment="1">
      <alignment/>
    </xf>
    <xf numFmtId="0" fontId="1" fillId="4" borderId="44" xfId="0" applyFont="1" applyFill="1" applyBorder="1" applyAlignment="1">
      <alignment/>
    </xf>
    <xf numFmtId="4" fontId="16" fillId="0" borderId="26" xfId="0" applyNumberFormat="1" applyFont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19" fillId="4" borderId="19" xfId="0" applyNumberFormat="1" applyFont="1" applyFill="1" applyBorder="1" applyAlignment="1">
      <alignment/>
    </xf>
    <xf numFmtId="4" fontId="3" fillId="4" borderId="19" xfId="0" applyNumberFormat="1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28" xfId="0" applyBorder="1" applyAlignment="1">
      <alignment/>
    </xf>
    <xf numFmtId="4" fontId="3" fillId="0" borderId="2" xfId="0" applyNumberFormat="1" applyFont="1" applyBorder="1" applyAlignment="1">
      <alignment/>
    </xf>
    <xf numFmtId="0" fontId="2" fillId="10" borderId="34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0" fillId="4" borderId="16" xfId="0" applyFill="1" applyBorder="1" applyAlignment="1">
      <alignment/>
    </xf>
    <xf numFmtId="0" fontId="0" fillId="0" borderId="54" xfId="0" applyBorder="1" applyAlignment="1">
      <alignment/>
    </xf>
    <xf numFmtId="0" fontId="1" fillId="4" borderId="55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49" fontId="33" fillId="3" borderId="15" xfId="0" applyNumberFormat="1" applyFont="1" applyFill="1" applyBorder="1" applyAlignment="1">
      <alignment horizontal="center"/>
    </xf>
    <xf numFmtId="49" fontId="34" fillId="3" borderId="14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3" fillId="4" borderId="9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2" borderId="14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4" fillId="2" borderId="56" xfId="0" applyFont="1" applyFill="1" applyBorder="1" applyAlignment="1">
      <alignment/>
    </xf>
    <xf numFmtId="0" fontId="34" fillId="2" borderId="57" xfId="0" applyFont="1" applyFill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3" fillId="3" borderId="19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19" xfId="0" applyNumberFormat="1" applyFont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34" fillId="3" borderId="10" xfId="0" applyFont="1" applyFill="1" applyBorder="1" applyAlignment="1">
      <alignment horizontal="center"/>
    </xf>
    <xf numFmtId="0" fontId="34" fillId="3" borderId="26" xfId="0" applyFont="1" applyFill="1" applyBorder="1" applyAlignment="1">
      <alignment horizontal="center"/>
    </xf>
    <xf numFmtId="4" fontId="36" fillId="3" borderId="14" xfId="0" applyNumberFormat="1" applyFont="1" applyFill="1" applyBorder="1" applyAlignment="1">
      <alignment horizontal="center"/>
    </xf>
    <xf numFmtId="4" fontId="36" fillId="3" borderId="14" xfId="0" applyNumberFormat="1" applyFont="1" applyFill="1" applyBorder="1" applyAlignment="1">
      <alignment horizontal="right"/>
    </xf>
    <xf numFmtId="4" fontId="36" fillId="4" borderId="15" xfId="0" applyNumberFormat="1" applyFont="1" applyFill="1" applyBorder="1" applyAlignment="1">
      <alignment horizontal="center"/>
    </xf>
    <xf numFmtId="4" fontId="36" fillId="4" borderId="0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4" fillId="12" borderId="62" xfId="0" applyFont="1" applyFill="1" applyBorder="1" applyAlignment="1">
      <alignment/>
    </xf>
    <xf numFmtId="0" fontId="34" fillId="12" borderId="63" xfId="0" applyFont="1" applyFill="1" applyBorder="1" applyAlignment="1">
      <alignment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34" fillId="12" borderId="62" xfId="0" applyFont="1" applyFill="1" applyBorder="1" applyAlignment="1">
      <alignment/>
    </xf>
    <xf numFmtId="4" fontId="0" fillId="4" borderId="39" xfId="0" applyNumberFormat="1" applyFill="1" applyBorder="1" applyAlignment="1">
      <alignment/>
    </xf>
    <xf numFmtId="4" fontId="0" fillId="4" borderId="42" xfId="0" applyNumberFormat="1" applyFill="1" applyBorder="1" applyAlignment="1">
      <alignment/>
    </xf>
    <xf numFmtId="0" fontId="3" fillId="8" borderId="2" xfId="0" applyFont="1" applyFill="1" applyBorder="1" applyAlignment="1">
      <alignment/>
    </xf>
    <xf numFmtId="0" fontId="33" fillId="8" borderId="2" xfId="0" applyFont="1" applyFill="1" applyBorder="1" applyAlignment="1">
      <alignment/>
    </xf>
    <xf numFmtId="0" fontId="1" fillId="8" borderId="2" xfId="0" applyFont="1" applyFill="1" applyBorder="1" applyAlignment="1">
      <alignment horizontal="center"/>
    </xf>
    <xf numFmtId="4" fontId="2" fillId="15" borderId="13" xfId="18" applyNumberFormat="1" applyFont="1" applyFill="1" applyBorder="1" applyAlignment="1">
      <alignment horizontal="center"/>
    </xf>
    <xf numFmtId="0" fontId="3" fillId="2" borderId="47" xfId="0" applyFont="1" applyFill="1" applyBorder="1" applyAlignment="1">
      <alignment/>
    </xf>
    <xf numFmtId="0" fontId="3" fillId="2" borderId="48" xfId="0" applyFont="1" applyFill="1" applyBorder="1" applyAlignment="1">
      <alignment/>
    </xf>
    <xf numFmtId="0" fontId="3" fillId="2" borderId="64" xfId="0" applyFont="1" applyFill="1" applyBorder="1" applyAlignment="1">
      <alignment/>
    </xf>
    <xf numFmtId="4" fontId="3" fillId="2" borderId="39" xfId="0" applyNumberFormat="1" applyFont="1" applyFill="1" applyBorder="1" applyAlignment="1">
      <alignment/>
    </xf>
    <xf numFmtId="0" fontId="1" fillId="6" borderId="44" xfId="0" applyFont="1" applyFill="1" applyBorder="1" applyAlignment="1">
      <alignment/>
    </xf>
    <xf numFmtId="0" fontId="1" fillId="6" borderId="33" xfId="0" applyFont="1" applyFill="1" applyBorder="1" applyAlignment="1">
      <alignment/>
    </xf>
    <xf numFmtId="0" fontId="1" fillId="6" borderId="41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5" borderId="33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0" fontId="2" fillId="5" borderId="19" xfId="0" applyFont="1" applyFill="1" applyBorder="1" applyAlignment="1">
      <alignment horizontal="center"/>
    </xf>
    <xf numFmtId="0" fontId="1" fillId="3" borderId="44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41" xfId="0" applyFont="1" applyFill="1" applyBorder="1" applyAlignment="1">
      <alignment/>
    </xf>
    <xf numFmtId="4" fontId="11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4" fontId="6" fillId="8" borderId="19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1" fillId="16" borderId="0" xfId="0" applyFont="1" applyFill="1" applyBorder="1" applyAlignment="1">
      <alignment/>
    </xf>
    <xf numFmtId="4" fontId="3" fillId="15" borderId="2" xfId="0" applyNumberFormat="1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7" borderId="44" xfId="0" applyNumberFormat="1" applyFont="1" applyFill="1" applyBorder="1" applyAlignment="1">
      <alignment/>
    </xf>
    <xf numFmtId="2" fontId="1" fillId="7" borderId="33" xfId="0" applyNumberFormat="1" applyFont="1" applyFill="1" applyBorder="1" applyAlignment="1">
      <alignment/>
    </xf>
    <xf numFmtId="2" fontId="1" fillId="7" borderId="38" xfId="0" applyNumberFormat="1" applyFont="1" applyFill="1" applyBorder="1" applyAlignment="1">
      <alignment/>
    </xf>
    <xf numFmtId="2" fontId="1" fillId="7" borderId="34" xfId="0" applyNumberFormat="1" applyFont="1" applyFill="1" applyBorder="1" applyAlignment="1">
      <alignment/>
    </xf>
    <xf numFmtId="4" fontId="39" fillId="17" borderId="27" xfId="0" applyNumberFormat="1" applyFont="1" applyFill="1" applyBorder="1" applyAlignment="1">
      <alignment horizontal="center"/>
    </xf>
    <xf numFmtId="4" fontId="40" fillId="4" borderId="2" xfId="0" applyNumberFormat="1" applyFont="1" applyFill="1" applyBorder="1" applyAlignment="1">
      <alignment/>
    </xf>
    <xf numFmtId="4" fontId="41" fillId="4" borderId="0" xfId="0" applyNumberFormat="1" applyFont="1" applyFill="1" applyAlignment="1">
      <alignment/>
    </xf>
    <xf numFmtId="4" fontId="40" fillId="4" borderId="0" xfId="0" applyNumberFormat="1" applyFont="1" applyFill="1" applyAlignment="1">
      <alignment/>
    </xf>
    <xf numFmtId="0" fontId="40" fillId="4" borderId="0" xfId="0" applyFont="1" applyFill="1" applyAlignment="1">
      <alignment/>
    </xf>
    <xf numFmtId="4" fontId="42" fillId="4" borderId="0" xfId="0" applyNumberFormat="1" applyFont="1" applyFill="1" applyAlignment="1">
      <alignment/>
    </xf>
    <xf numFmtId="0" fontId="43" fillId="4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/>
    </xf>
    <xf numFmtId="4" fontId="45" fillId="4" borderId="27" xfId="0" applyNumberFormat="1" applyFont="1" applyFill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7" fillId="0" borderId="2" xfId="0" applyNumberFormat="1" applyFont="1" applyBorder="1" applyAlignment="1">
      <alignment/>
    </xf>
    <xf numFmtId="2" fontId="47" fillId="4" borderId="2" xfId="0" applyNumberFormat="1" applyFont="1" applyFill="1" applyBorder="1" applyAlignment="1">
      <alignment/>
    </xf>
    <xf numFmtId="4" fontId="40" fillId="4" borderId="2" xfId="0" applyNumberFormat="1" applyFont="1" applyFill="1" applyBorder="1" applyAlignment="1">
      <alignment horizontal="center"/>
    </xf>
    <xf numFmtId="3" fontId="33" fillId="3" borderId="2" xfId="0" applyNumberFormat="1" applyFont="1" applyFill="1" applyBorder="1" applyAlignment="1">
      <alignment horizontal="center"/>
    </xf>
    <xf numFmtId="3" fontId="33" fillId="3" borderId="19" xfId="0" applyNumberFormat="1" applyFont="1" applyFill="1" applyBorder="1" applyAlignment="1">
      <alignment horizontal="center"/>
    </xf>
    <xf numFmtId="2" fontId="40" fillId="7" borderId="34" xfId="0" applyNumberFormat="1" applyFont="1" applyFill="1" applyBorder="1" applyAlignment="1">
      <alignment horizontal="center"/>
    </xf>
    <xf numFmtId="3" fontId="33" fillId="3" borderId="50" xfId="0" applyNumberFormat="1" applyFont="1" applyFill="1" applyBorder="1" applyAlignment="1">
      <alignment horizontal="center"/>
    </xf>
    <xf numFmtId="3" fontId="33" fillId="3" borderId="65" xfId="0" applyNumberFormat="1" applyFont="1" applyFill="1" applyBorder="1" applyAlignment="1">
      <alignment horizontal="center"/>
    </xf>
    <xf numFmtId="2" fontId="46" fillId="7" borderId="33" xfId="0" applyNumberFormat="1" applyFont="1" applyFill="1" applyBorder="1" applyAlignment="1">
      <alignment horizontal="center"/>
    </xf>
    <xf numFmtId="2" fontId="46" fillId="4" borderId="33" xfId="0" applyNumberFormat="1" applyFont="1" applyFill="1" applyBorder="1" applyAlignment="1">
      <alignment/>
    </xf>
    <xf numFmtId="2" fontId="46" fillId="7" borderId="38" xfId="0" applyNumberFormat="1" applyFont="1" applyFill="1" applyBorder="1" applyAlignment="1">
      <alignment horizontal="center"/>
    </xf>
    <xf numFmtId="2" fontId="46" fillId="7" borderId="41" xfId="0" applyNumberFormat="1" applyFont="1" applyFill="1" applyBorder="1" applyAlignment="1">
      <alignment horizontal="center"/>
    </xf>
    <xf numFmtId="2" fontId="46" fillId="4" borderId="41" xfId="0" applyNumberFormat="1" applyFont="1" applyFill="1" applyBorder="1" applyAlignment="1">
      <alignment/>
    </xf>
    <xf numFmtId="3" fontId="19" fillId="2" borderId="19" xfId="0" applyNumberFormat="1" applyFont="1" applyFill="1" applyBorder="1" applyAlignment="1">
      <alignment horizontal="center"/>
    </xf>
    <xf numFmtId="4" fontId="3" fillId="7" borderId="66" xfId="18" applyNumberFormat="1" applyFont="1" applyFill="1" applyBorder="1" applyAlignment="1" applyProtection="1">
      <alignment/>
      <protection/>
    </xf>
    <xf numFmtId="0" fontId="1" fillId="2" borderId="67" xfId="0" applyFont="1" applyFill="1" applyBorder="1" applyAlignment="1">
      <alignment/>
    </xf>
    <xf numFmtId="4" fontId="0" fillId="2" borderId="68" xfId="0" applyNumberFormat="1" applyFill="1" applyBorder="1" applyAlignment="1">
      <alignment/>
    </xf>
    <xf numFmtId="0" fontId="0" fillId="2" borderId="69" xfId="0" applyFill="1" applyBorder="1" applyAlignment="1">
      <alignment/>
    </xf>
    <xf numFmtId="4" fontId="2" fillId="0" borderId="70" xfId="0" applyNumberFormat="1" applyFont="1" applyBorder="1" applyAlignment="1">
      <alignment/>
    </xf>
    <xf numFmtId="4" fontId="8" fillId="0" borderId="71" xfId="0" applyNumberFormat="1" applyFont="1" applyBorder="1" applyAlignment="1">
      <alignment/>
    </xf>
    <xf numFmtId="4" fontId="16" fillId="0" borderId="72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2" fillId="0" borderId="73" xfId="0" applyNumberFormat="1" applyFont="1" applyBorder="1" applyAlignment="1">
      <alignment/>
    </xf>
    <xf numFmtId="2" fontId="49" fillId="13" borderId="38" xfId="0" applyNumberFormat="1" applyFont="1" applyFill="1" applyBorder="1" applyAlignment="1">
      <alignment horizontal="center"/>
    </xf>
    <xf numFmtId="2" fontId="49" fillId="5" borderId="38" xfId="0" applyNumberFormat="1" applyFont="1" applyFill="1" applyBorder="1" applyAlignment="1">
      <alignment/>
    </xf>
    <xf numFmtId="4" fontId="46" fillId="4" borderId="14" xfId="0" applyNumberFormat="1" applyFont="1" applyFill="1" applyBorder="1" applyAlignment="1">
      <alignment horizontal="right"/>
    </xf>
    <xf numFmtId="2" fontId="46" fillId="0" borderId="14" xfId="0" applyNumberFormat="1" applyFont="1" applyBorder="1" applyAlignment="1">
      <alignment horizontal="right"/>
    </xf>
    <xf numFmtId="4" fontId="2" fillId="0" borderId="74" xfId="0" applyNumberFormat="1" applyFont="1" applyBorder="1" applyAlignment="1">
      <alignment/>
    </xf>
    <xf numFmtId="4" fontId="46" fillId="4" borderId="60" xfId="0" applyNumberFormat="1" applyFont="1" applyFill="1" applyBorder="1" applyAlignment="1">
      <alignment horizontal="right"/>
    </xf>
    <xf numFmtId="2" fontId="46" fillId="0" borderId="60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2" fontId="46" fillId="0" borderId="75" xfId="0" applyNumberFormat="1" applyFont="1" applyBorder="1" applyAlignment="1">
      <alignment horizontal="center"/>
    </xf>
    <xf numFmtId="0" fontId="1" fillId="0" borderId="76" xfId="0" applyFont="1" applyBorder="1" applyAlignment="1">
      <alignment/>
    </xf>
    <xf numFmtId="0" fontId="3" fillId="0" borderId="77" xfId="0" applyFont="1" applyBorder="1" applyAlignment="1">
      <alignment horizontal="center"/>
    </xf>
    <xf numFmtId="0" fontId="2" fillId="4" borderId="7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3" fillId="0" borderId="78" xfId="0" applyFont="1" applyBorder="1" applyAlignment="1">
      <alignment horizontal="center"/>
    </xf>
    <xf numFmtId="0" fontId="0" fillId="0" borderId="80" xfId="0" applyBorder="1" applyAlignment="1">
      <alignment/>
    </xf>
    <xf numFmtId="0" fontId="2" fillId="4" borderId="81" xfId="0" applyFont="1" applyFill="1" applyBorder="1" applyAlignment="1">
      <alignment horizontal="center"/>
    </xf>
    <xf numFmtId="3" fontId="32" fillId="2" borderId="82" xfId="0" applyNumberFormat="1" applyFont="1" applyFill="1" applyBorder="1" applyAlignment="1">
      <alignment horizontal="center"/>
    </xf>
    <xf numFmtId="3" fontId="32" fillId="0" borderId="50" xfId="0" applyNumberFormat="1" applyFont="1" applyBorder="1" applyAlignment="1">
      <alignment horizontal="center"/>
    </xf>
    <xf numFmtId="3" fontId="32" fillId="5" borderId="82" xfId="0" applyNumberFormat="1" applyFont="1" applyFill="1" applyBorder="1" applyAlignment="1">
      <alignment horizontal="center"/>
    </xf>
    <xf numFmtId="4" fontId="20" fillId="0" borderId="2" xfId="0" applyNumberFormat="1" applyFont="1" applyBorder="1" applyAlignment="1">
      <alignment/>
    </xf>
    <xf numFmtId="2" fontId="49" fillId="5" borderId="33" xfId="0" applyNumberFormat="1" applyFont="1" applyFill="1" applyBorder="1" applyAlignment="1">
      <alignment/>
    </xf>
    <xf numFmtId="4" fontId="16" fillId="0" borderId="83" xfId="0" applyNumberFormat="1" applyFont="1" applyBorder="1" applyAlignment="1">
      <alignment/>
    </xf>
    <xf numFmtId="2" fontId="48" fillId="5" borderId="2" xfId="0" applyNumberFormat="1" applyFont="1" applyFill="1" applyBorder="1" applyAlignment="1">
      <alignment/>
    </xf>
    <xf numFmtId="4" fontId="8" fillId="0" borderId="31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3" fontId="32" fillId="0" borderId="84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4" fontId="0" fillId="4" borderId="6" xfId="0" applyNumberFormat="1" applyFon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0" fontId="1" fillId="4" borderId="85" xfId="0" applyFont="1" applyFill="1" applyBorder="1" applyAlignment="1">
      <alignment horizontal="center"/>
    </xf>
    <xf numFmtId="49" fontId="1" fillId="4" borderId="86" xfId="0" applyNumberFormat="1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49" fontId="34" fillId="3" borderId="88" xfId="0" applyNumberFormat="1" applyFont="1" applyFill="1" applyBorder="1" applyAlignment="1">
      <alignment horizontal="center"/>
    </xf>
    <xf numFmtId="49" fontId="33" fillId="3" borderId="89" xfId="0" applyNumberFormat="1" applyFont="1" applyFill="1" applyBorder="1" applyAlignment="1">
      <alignment horizontal="center"/>
    </xf>
    <xf numFmtId="0" fontId="0" fillId="3" borderId="90" xfId="0" applyFill="1" applyBorder="1" applyAlignment="1">
      <alignment/>
    </xf>
    <xf numFmtId="49" fontId="33" fillId="5" borderId="88" xfId="0" applyNumberFormat="1" applyFont="1" applyFill="1" applyBorder="1" applyAlignment="1">
      <alignment horizontal="center"/>
    </xf>
    <xf numFmtId="49" fontId="32" fillId="5" borderId="89" xfId="0" applyNumberFormat="1" applyFont="1" applyFill="1" applyBorder="1" applyAlignment="1">
      <alignment horizontal="center"/>
    </xf>
    <xf numFmtId="49" fontId="6" fillId="5" borderId="90" xfId="0" applyNumberFormat="1" applyFont="1" applyFill="1" applyBorder="1" applyAlignment="1">
      <alignment horizontal="center"/>
    </xf>
    <xf numFmtId="0" fontId="1" fillId="4" borderId="91" xfId="0" applyFont="1" applyFill="1" applyBorder="1" applyAlignment="1">
      <alignment horizontal="center"/>
    </xf>
    <xf numFmtId="49" fontId="1" fillId="4" borderId="92" xfId="0" applyNumberFormat="1" applyFont="1" applyFill="1" applyBorder="1" applyAlignment="1">
      <alignment horizontal="center"/>
    </xf>
    <xf numFmtId="0" fontId="1" fillId="4" borderId="93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49" fontId="51" fillId="4" borderId="0" xfId="0" applyNumberFormat="1" applyFont="1" applyFill="1" applyBorder="1" applyAlignment="1">
      <alignment horizontal="center"/>
    </xf>
    <xf numFmtId="0" fontId="51" fillId="4" borderId="54" xfId="0" applyFont="1" applyFill="1" applyBorder="1" applyAlignment="1">
      <alignment horizontal="center"/>
    </xf>
    <xf numFmtId="171" fontId="2" fillId="7" borderId="94" xfId="18" applyFont="1" applyFill="1" applyBorder="1" applyAlignment="1" applyProtection="1">
      <alignment horizontal="center"/>
      <protection/>
    </xf>
    <xf numFmtId="0" fontId="2" fillId="9" borderId="65" xfId="0" applyFont="1" applyFill="1" applyBorder="1" applyAlignment="1">
      <alignment horizontal="center"/>
    </xf>
    <xf numFmtId="171" fontId="1" fillId="7" borderId="82" xfId="18" applyFont="1" applyFill="1" applyBorder="1" applyAlignment="1" applyProtection="1">
      <alignment horizontal="center"/>
      <protection/>
    </xf>
    <xf numFmtId="0" fontId="2" fillId="12" borderId="62" xfId="0" applyFont="1" applyFill="1" applyBorder="1" applyAlignment="1">
      <alignment horizontal="center"/>
    </xf>
    <xf numFmtId="0" fontId="34" fillId="12" borderId="63" xfId="0" applyFont="1" applyFill="1" applyBorder="1" applyAlignment="1">
      <alignment/>
    </xf>
    <xf numFmtId="2" fontId="46" fillId="4" borderId="60" xfId="0" applyNumberFormat="1" applyFont="1" applyFill="1" applyBorder="1" applyAlignment="1">
      <alignment horizontal="right"/>
    </xf>
    <xf numFmtId="4" fontId="28" fillId="3" borderId="19" xfId="0" applyNumberFormat="1" applyFont="1" applyFill="1" applyBorder="1" applyAlignment="1">
      <alignment/>
    </xf>
    <xf numFmtId="4" fontId="2" fillId="2" borderId="31" xfId="0" applyNumberFormat="1" applyFont="1" applyFill="1" applyBorder="1" applyAlignment="1">
      <alignment horizontal="center"/>
    </xf>
    <xf numFmtId="3" fontId="33" fillId="3" borderId="95" xfId="0" applyNumberFormat="1" applyFont="1" applyFill="1" applyBorder="1" applyAlignment="1">
      <alignment horizontal="center"/>
    </xf>
    <xf numFmtId="4" fontId="0" fillId="0" borderId="96" xfId="0" applyNumberFormat="1" applyBorder="1" applyAlignment="1">
      <alignment/>
    </xf>
    <xf numFmtId="4" fontId="3" fillId="0" borderId="65" xfId="0" applyNumberFormat="1" applyFont="1" applyBorder="1" applyAlignment="1">
      <alignment horizontal="center"/>
    </xf>
    <xf numFmtId="4" fontId="47" fillId="4" borderId="14" xfId="0" applyNumberFormat="1" applyFont="1" applyFill="1" applyBorder="1" applyAlignment="1">
      <alignment horizontal="center"/>
    </xf>
    <xf numFmtId="2" fontId="47" fillId="0" borderId="0" xfId="0" applyNumberFormat="1" applyFont="1" applyAlignment="1">
      <alignment horizontal="center"/>
    </xf>
    <xf numFmtId="4" fontId="2" fillId="6" borderId="19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2" fontId="45" fillId="0" borderId="2" xfId="0" applyNumberFormat="1" applyFont="1" applyBorder="1" applyAlignment="1">
      <alignment horizontal="center"/>
    </xf>
    <xf numFmtId="4" fontId="3" fillId="0" borderId="97" xfId="0" applyNumberFormat="1" applyFont="1" applyBorder="1" applyAlignment="1">
      <alignment horizontal="center"/>
    </xf>
    <xf numFmtId="4" fontId="0" fillId="0" borderId="98" xfId="0" applyNumberFormat="1" applyBorder="1" applyAlignment="1">
      <alignment/>
    </xf>
    <xf numFmtId="0" fontId="3" fillId="9" borderId="11" xfId="0" applyFont="1" applyFill="1" applyBorder="1" applyAlignment="1">
      <alignment horizontal="center"/>
    </xf>
    <xf numFmtId="4" fontId="45" fillId="4" borderId="2" xfId="0" applyNumberFormat="1" applyFont="1" applyFill="1" applyBorder="1" applyAlignment="1">
      <alignment horizontal="center"/>
    </xf>
    <xf numFmtId="0" fontId="41" fillId="4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4" fontId="39" fillId="4" borderId="2" xfId="0" applyNumberFormat="1" applyFont="1" applyFill="1" applyBorder="1" applyAlignment="1">
      <alignment horizontal="center"/>
    </xf>
    <xf numFmtId="2" fontId="49" fillId="5" borderId="4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31" fillId="3" borderId="85" xfId="0" applyNumberFormat="1" applyFont="1" applyFill="1" applyBorder="1" applyAlignment="1">
      <alignment horizontal="center"/>
    </xf>
    <xf numFmtId="49" fontId="32" fillId="3" borderId="85" xfId="0" applyNumberFormat="1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49" fontId="31" fillId="3" borderId="86" xfId="0" applyNumberFormat="1" applyFont="1" applyFill="1" applyBorder="1" applyAlignment="1">
      <alignment horizontal="center"/>
    </xf>
    <xf numFmtId="49" fontId="1" fillId="3" borderId="86" xfId="0" applyNumberFormat="1" applyFont="1" applyFill="1" applyBorder="1" applyAlignment="1">
      <alignment horizontal="center"/>
    </xf>
    <xf numFmtId="0" fontId="34" fillId="3" borderId="87" xfId="0" applyFont="1" applyFill="1" applyBorder="1" applyAlignment="1">
      <alignment horizontal="center"/>
    </xf>
    <xf numFmtId="0" fontId="0" fillId="3" borderId="87" xfId="0" applyFill="1" applyBorder="1" applyAlignment="1">
      <alignment/>
    </xf>
    <xf numFmtId="0" fontId="1" fillId="3" borderId="87" xfId="0" applyFont="1" applyFill="1" applyBorder="1" applyAlignment="1">
      <alignment horizontal="center"/>
    </xf>
    <xf numFmtId="4" fontId="40" fillId="4" borderId="99" xfId="0" applyNumberFormat="1" applyFont="1" applyFill="1" applyBorder="1" applyAlignment="1">
      <alignment/>
    </xf>
    <xf numFmtId="4" fontId="53" fillId="2" borderId="27" xfId="0" applyNumberFormat="1" applyFont="1" applyFill="1" applyBorder="1" applyAlignment="1">
      <alignment horizontal="center"/>
    </xf>
    <xf numFmtId="4" fontId="28" fillId="2" borderId="82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4" fontId="6" fillId="0" borderId="82" xfId="0" applyNumberFormat="1" applyFont="1" applyBorder="1" applyAlignment="1">
      <alignment/>
    </xf>
    <xf numFmtId="4" fontId="6" fillId="4" borderId="82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209" fontId="28" fillId="6" borderId="100" xfId="0" applyNumberFormat="1" applyFont="1" applyFill="1" applyBorder="1" applyAlignment="1">
      <alignment horizontal="center"/>
    </xf>
    <xf numFmtId="209" fontId="28" fillId="6" borderId="101" xfId="0" applyNumberFormat="1" applyFont="1" applyFill="1" applyBorder="1" applyAlignment="1">
      <alignment horizontal="center"/>
    </xf>
    <xf numFmtId="49" fontId="38" fillId="2" borderId="102" xfId="0" applyNumberFormat="1" applyFont="1" applyFill="1" applyBorder="1" applyAlignment="1">
      <alignment horizontal="center"/>
    </xf>
    <xf numFmtId="49" fontId="38" fillId="2" borderId="103" xfId="0" applyNumberFormat="1" applyFont="1" applyFill="1" applyBorder="1" applyAlignment="1">
      <alignment horizontal="center"/>
    </xf>
    <xf numFmtId="49" fontId="38" fillId="2" borderId="104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7" borderId="105" xfId="0" applyFont="1" applyFill="1" applyBorder="1" applyAlignment="1">
      <alignment horizontal="center"/>
    </xf>
    <xf numFmtId="0" fontId="1" fillId="7" borderId="10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" fillId="9" borderId="105" xfId="0" applyFont="1" applyFill="1" applyBorder="1" applyAlignment="1">
      <alignment horizontal="center"/>
    </xf>
    <xf numFmtId="0" fontId="1" fillId="9" borderId="106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" fillId="3" borderId="10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49" fontId="38" fillId="2" borderId="76" xfId="0" applyNumberFormat="1" applyFont="1" applyFill="1" applyBorder="1" applyAlignment="1">
      <alignment horizontal="center"/>
    </xf>
    <xf numFmtId="49" fontId="38" fillId="2" borderId="68" xfId="0" applyNumberFormat="1" applyFont="1" applyFill="1" applyBorder="1" applyAlignment="1">
      <alignment horizontal="center"/>
    </xf>
    <xf numFmtId="49" fontId="38" fillId="2" borderId="10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8" borderId="110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50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8" borderId="0" xfId="0" applyFont="1" applyFill="1" applyAlignment="1">
      <alignment horizontal="center"/>
    </xf>
    <xf numFmtId="4" fontId="3" fillId="5" borderId="2" xfId="0" applyNumberFormat="1" applyFont="1" applyFill="1" applyBorder="1" applyAlignment="1">
      <alignment/>
    </xf>
    <xf numFmtId="4" fontId="42" fillId="5" borderId="2" xfId="0" applyNumberFormat="1" applyFont="1" applyFill="1" applyBorder="1" applyAlignment="1">
      <alignment/>
    </xf>
    <xf numFmtId="2" fontId="45" fillId="2" borderId="2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RECAUDACION  2016
TOTALES POR MES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175"/>
          <c:w val="0.939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D5DFFF"/>
                </a:gs>
              </a:gsLst>
              <a:lin ang="0" scaled="1"/>
            </a:gra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Hoja1!$B$11:$B$22</c:f>
              <c:strCache/>
            </c:strRef>
          </c:cat>
          <c:val>
            <c:numRef>
              <c:f>Hoja1!$L$11:$L$22</c:f>
              <c:numCache/>
            </c:numRef>
          </c:val>
        </c:ser>
        <c:gapWidth val="120"/>
        <c:axId val="46973083"/>
        <c:axId val="20104564"/>
      </c:barChart>
      <c:catAx>
        <c:axId val="4697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  <c:max val="34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At val="1"/>
        <c:crossBetween val="between"/>
        <c:dispUnits/>
        <c:majorUnit val="17000000"/>
      </c:valAx>
      <c:spPr>
        <a:gradFill rotWithShape="1">
          <a:gsLst>
            <a:gs pos="0">
              <a:srgbClr val="FFFFCC"/>
            </a:gs>
            <a:gs pos="100000">
              <a:srgbClr val="FFFFDC"/>
            </a:gs>
          </a:gsLst>
          <a:lin ang="5400000" scaled="1"/>
        </a:gra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DFBF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INGRESOS BRUTOS LOCAL - CONVENIO MULTILATERAL
COMPARATIVO 2016  -  TENDENCIA</a:t>
            </a:r>
          </a:p>
        </c:rich>
      </c:tx>
      <c:layout>
        <c:manualLayout>
          <c:xMode val="factor"/>
          <c:yMode val="factor"/>
          <c:x val="-0.13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2425"/>
          <c:w val="0.97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Hoja5!$V$22</c:f>
              <c:strCache>
                <c:ptCount val="1"/>
                <c:pt idx="0">
                  <c:v>I.B. LOCAL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1416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Hoja5!$U$23:$U$34</c:f>
              <c:strCache/>
            </c:strRef>
          </c:cat>
          <c:val>
            <c:numRef>
              <c:f>Hoja5!$V$23:$V$34</c:f>
              <c:numCache/>
            </c:numRef>
          </c:val>
        </c:ser>
        <c:ser>
          <c:idx val="1"/>
          <c:order val="1"/>
          <c:tx>
            <c:strRef>
              <c:f>Hoja5!$X$22</c:f>
              <c:strCache>
                <c:ptCount val="1"/>
                <c:pt idx="0">
                  <c:v>CONVENIO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CC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Hoja5!$U$23:$U$34</c:f>
              <c:strCache/>
            </c:strRef>
          </c:cat>
          <c:val>
            <c:numRef>
              <c:f>Hoja5!$X$23:$X$34</c:f>
              <c:numCache/>
            </c:numRef>
          </c:val>
        </c:ser>
        <c:gapWidth val="130"/>
        <c:axId val="4218859"/>
        <c:axId val="37969732"/>
      </c:barChart>
      <c:catAx>
        <c:axId val="42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autoZero"/>
        <c:auto val="1"/>
        <c:lblOffset val="100"/>
        <c:noMultiLvlLbl val="0"/>
      </c:catAx>
      <c:valAx>
        <c:axId val="37969732"/>
        <c:scaling>
          <c:orientation val="minMax"/>
          <c:max val="16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At val="1"/>
        <c:crossBetween val="between"/>
        <c:dispUnits/>
        <c:majorUnit val="1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"/>
          <c:y val="0.01125"/>
          <c:w val="0.42325"/>
          <c:h val="0.117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B6B66D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2"/>
          <c:w val="0.94125"/>
          <c:h val="0.89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Hoja1!$C$64:$C$75</c:f>
              <c:numCache/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At val="0"/>
        <c:auto val="1"/>
        <c:lblOffset val="100"/>
        <c:noMultiLvlLbl val="0"/>
      </c:catAx>
      <c:valAx>
        <c:axId val="17856958"/>
        <c:scaling>
          <c:orientation val="minMax"/>
          <c:max val="5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1"/>
        <c:crossBetween val="between"/>
        <c:dispUnits/>
        <c:majorUnit val="2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BAF1FF"/>
        </a:gs>
      </a:gsLst>
      <a:lin ang="0" scaled="1"/>
    </a:gradFill>
    <a:ln w="25400">
      <a:solid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VARIACION MENSUAL 2016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4775"/>
          <c:w val="0.9615"/>
          <c:h val="0.94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Hoja1!$E$64:$E$75</c:f>
              <c:numCache/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auto val="1"/>
        <c:lblOffset val="100"/>
        <c:noMultiLvlLbl val="0"/>
      </c:catAx>
      <c:valAx>
        <c:axId val="37127464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DCDA4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VARIACION INTERANUAL - 2015-2016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325"/>
          <c:w val="0.948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Hoja1!$B$64:$B$75</c:f>
              <c:strCache/>
            </c:strRef>
          </c:cat>
          <c:val>
            <c:numRef>
              <c:f>Hoja1!$F$64:$F$75</c:f>
              <c:numCache/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At val="1"/>
        <c:crossBetween val="between"/>
        <c:dispUnits/>
        <c:majorUnit val="4"/>
        <c:min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B3D9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COMPARATIVO AÑOS ANTERIORES
MES DE DICIEMBRE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8"/>
          <c:w val="0.981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Hoja3!$D$14:$D$37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0" scaled="1"/>
            </a:gra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Hoja3!$E$14:$E$37</c:f>
              <c:numCache/>
            </c:numRef>
          </c:val>
        </c:ser>
        <c:gapWidth val="10"/>
        <c:axId val="21049155"/>
        <c:axId val="55224668"/>
      </c:barChart>
      <c:cat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auto val="1"/>
        <c:lblOffset val="100"/>
        <c:noMultiLvlLbl val="0"/>
      </c:catAx>
      <c:valAx>
        <c:axId val="55224668"/>
        <c:scaling>
          <c:orientation val="minMax"/>
          <c:max val="31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At val="1"/>
        <c:crossBetween val="between"/>
        <c:dispUnits/>
        <c:majorUnit val="2250000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ADD9AD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 1993  -  2016
MES DE DICIEMBRE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"/>
          <c:w val="0.974"/>
          <c:h val="0.88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Hoja3!$D$14:$D$37</c:f>
              <c:numCache/>
            </c:numRef>
          </c:cat>
          <c:val>
            <c:numRef>
              <c:f>Hoja3!$D$14:$D$37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Hoja3!$D$14:$D$37</c:f>
              <c:numCache/>
            </c:numRef>
          </c:cat>
          <c:val>
            <c:numRef>
              <c:f>Hoja3!$E$14:$E$37</c:f>
              <c:numCache/>
            </c:numRef>
          </c:val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auto val="1"/>
        <c:lblOffset val="100"/>
        <c:noMultiLvlLbl val="0"/>
      </c:catAx>
      <c:valAx>
        <c:axId val="44013094"/>
        <c:scaling>
          <c:orientation val="minMax"/>
          <c:max val="31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At val="1"/>
        <c:crossBetween val="between"/>
        <c:dispUnits/>
        <c:majorUnit val="2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A9EDFF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COMPARATIVO AÑOS ANTERIORES
ACUMULADO HASTA DICIEMBRE</a:t>
            </a:r>
          </a:p>
        </c:rich>
      </c:tx>
      <c:layout>
        <c:manualLayout>
          <c:xMode val="factor"/>
          <c:yMode val="factor"/>
          <c:x val="-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35"/>
          <c:w val="0.976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Hoja4!$C$13:$C$36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9CCFF"/>
                </a:gs>
                <a:gs pos="100000">
                  <a:srgbClr val="354759"/>
                </a:gs>
              </a:gsLst>
              <a:lin ang="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Hoja4!$D$13:$D$36</c:f>
              <c:numCache/>
            </c:numRef>
          </c:val>
        </c:ser>
        <c:gapWidth val="0"/>
        <c:axId val="60573527"/>
        <c:axId val="8290832"/>
      </c:barChart>
      <c:catAx>
        <c:axId val="6057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auto val="1"/>
        <c:lblOffset val="100"/>
        <c:noMultiLvlLbl val="0"/>
      </c:catAx>
      <c:valAx>
        <c:axId val="8290832"/>
        <c:scaling>
          <c:orientation val="minMax"/>
          <c:max val="343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INPORTE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At val="1"/>
        <c:crossBetween val="between"/>
        <c:dispUnits/>
        <c:majorUnit val="245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A0C8A0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TENDENCIA RECAUDACION ACUMULADA
HASTA   DICIEMBRE   1993  -  2016</a:t>
            </a:r>
          </a:p>
        </c:rich>
      </c:tx>
      <c:layout>
        <c:manualLayout>
          <c:xMode val="factor"/>
          <c:yMode val="factor"/>
          <c:x val="-0.011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75"/>
          <c:w val="0.97325"/>
          <c:h val="0.86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Hoja4!$C$13:$C$36</c:f>
              <c:numCache/>
            </c:numRef>
          </c:cat>
          <c:val>
            <c:numRef>
              <c:f>Hoja4!$C$13:$C$36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numRef>
              <c:f>Hoja4!$C$13:$C$36</c:f>
              <c:numCache/>
            </c:numRef>
          </c:cat>
          <c:val>
            <c:numRef>
              <c:f>Hoja4!$D$13:$D$36</c:f>
              <c:numCache/>
            </c:numRef>
          </c:val>
          <c:smooth val="0"/>
        </c:ser>
        <c:marker val="1"/>
        <c:axId val="7508625"/>
        <c:axId val="468762"/>
      </c:lineChart>
      <c:catAx>
        <c:axId val="75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auto val="1"/>
        <c:lblOffset val="100"/>
        <c:noMultiLvlLbl val="0"/>
      </c:catAx>
      <c:valAx>
        <c:axId val="468762"/>
        <c:scaling>
          <c:orientation val="minMax"/>
          <c:max val="343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IMPORTE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At val="1"/>
        <c:crossBetween val="between"/>
        <c:dispUnits/>
        <c:majorUnit val="24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B1EBEB"/>
        </a:gs>
      </a:gsLst>
      <a:lin ang="5400000" scaled="1"/>
    </a:gradFill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RECAUDACION TOTAL 2016
IMPUESTOS - PORCENTAJES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135"/>
          <c:w val="0.7005"/>
          <c:h val="0.567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Hoja5!$J$73:$J$82</c:f>
              <c:strCache/>
            </c:strRef>
          </c:cat>
          <c:val>
            <c:numRef>
              <c:f>Hoja5!$K$73:$K$82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38</xdr:row>
      <xdr:rowOff>85725</xdr:rowOff>
    </xdr:from>
    <xdr:to>
      <xdr:col>9</xdr:col>
      <xdr:colOff>847725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171450" y="6591300"/>
        <a:ext cx="7543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95</xdr:row>
      <xdr:rowOff>0</xdr:rowOff>
    </xdr:from>
    <xdr:to>
      <xdr:col>10</xdr:col>
      <xdr:colOff>819150</xdr:colOff>
      <xdr:row>117</xdr:row>
      <xdr:rowOff>9525</xdr:rowOff>
    </xdr:to>
    <xdr:graphicFrame>
      <xdr:nvGraphicFramePr>
        <xdr:cNvPr id="2" name="Chart 5"/>
        <xdr:cNvGraphicFramePr/>
      </xdr:nvGraphicFramePr>
      <xdr:xfrm>
        <a:off x="314325" y="15982950"/>
        <a:ext cx="8296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60</xdr:row>
      <xdr:rowOff>152400</xdr:rowOff>
    </xdr:from>
    <xdr:to>
      <xdr:col>12</xdr:col>
      <xdr:colOff>400050</xdr:colOff>
      <xdr:row>76</xdr:row>
      <xdr:rowOff>57150</xdr:rowOff>
    </xdr:to>
    <xdr:graphicFrame>
      <xdr:nvGraphicFramePr>
        <xdr:cNvPr id="3" name="Chart 6"/>
        <xdr:cNvGraphicFramePr/>
      </xdr:nvGraphicFramePr>
      <xdr:xfrm>
        <a:off x="4562475" y="10220325"/>
        <a:ext cx="5495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</xdr:row>
      <xdr:rowOff>104775</xdr:rowOff>
    </xdr:from>
    <xdr:to>
      <xdr:col>3</xdr:col>
      <xdr:colOff>638175</xdr:colOff>
      <xdr:row>4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6670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</xdr:row>
      <xdr:rowOff>47625</xdr:rowOff>
    </xdr:from>
    <xdr:to>
      <xdr:col>3</xdr:col>
      <xdr:colOff>333375</xdr:colOff>
      <xdr:row>36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743575"/>
          <a:ext cx="1962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78</xdr:row>
      <xdr:rowOff>9525</xdr:rowOff>
    </xdr:from>
    <xdr:to>
      <xdr:col>7</xdr:col>
      <xdr:colOff>514350</xdr:colOff>
      <xdr:row>94</xdr:row>
      <xdr:rowOff>19050</xdr:rowOff>
    </xdr:to>
    <xdr:graphicFrame>
      <xdr:nvGraphicFramePr>
        <xdr:cNvPr id="6" name="Chart 9"/>
        <xdr:cNvGraphicFramePr/>
      </xdr:nvGraphicFramePr>
      <xdr:xfrm>
        <a:off x="304800" y="13239750"/>
        <a:ext cx="5553075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1</xdr:col>
      <xdr:colOff>95250</xdr:colOff>
      <xdr:row>8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"/>
          <a:ext cx="2133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38</xdr:row>
      <xdr:rowOff>85725</xdr:rowOff>
    </xdr:from>
    <xdr:to>
      <xdr:col>11</xdr:col>
      <xdr:colOff>171450</xdr:colOff>
      <xdr:row>53</xdr:row>
      <xdr:rowOff>133350</xdr:rowOff>
    </xdr:to>
    <xdr:graphicFrame>
      <xdr:nvGraphicFramePr>
        <xdr:cNvPr id="1" name="Chart 8"/>
        <xdr:cNvGraphicFramePr/>
      </xdr:nvGraphicFramePr>
      <xdr:xfrm>
        <a:off x="1181100" y="6477000"/>
        <a:ext cx="72294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54</xdr:row>
      <xdr:rowOff>123825</xdr:rowOff>
    </xdr:from>
    <xdr:to>
      <xdr:col>11</xdr:col>
      <xdr:colOff>533400</xdr:colOff>
      <xdr:row>74</xdr:row>
      <xdr:rowOff>66675</xdr:rowOff>
    </xdr:to>
    <xdr:graphicFrame>
      <xdr:nvGraphicFramePr>
        <xdr:cNvPr id="2" name="Chart 9"/>
        <xdr:cNvGraphicFramePr/>
      </xdr:nvGraphicFramePr>
      <xdr:xfrm>
        <a:off x="771525" y="9105900"/>
        <a:ext cx="80010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2</xdr:row>
      <xdr:rowOff>0</xdr:rowOff>
    </xdr:from>
    <xdr:to>
      <xdr:col>3</xdr:col>
      <xdr:colOff>685800</xdr:colOff>
      <xdr:row>5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333375"/>
          <a:ext cx="2057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36</xdr:row>
      <xdr:rowOff>123825</xdr:rowOff>
    </xdr:from>
    <xdr:to>
      <xdr:col>10</xdr:col>
      <xdr:colOff>400050</xdr:colOff>
      <xdr:row>52</xdr:row>
      <xdr:rowOff>114300</xdr:rowOff>
    </xdr:to>
    <xdr:graphicFrame>
      <xdr:nvGraphicFramePr>
        <xdr:cNvPr id="1" name="Chart 3"/>
        <xdr:cNvGraphicFramePr/>
      </xdr:nvGraphicFramePr>
      <xdr:xfrm>
        <a:off x="1114425" y="6200775"/>
        <a:ext cx="74771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53</xdr:row>
      <xdr:rowOff>114300</xdr:rowOff>
    </xdr:from>
    <xdr:to>
      <xdr:col>10</xdr:col>
      <xdr:colOff>714375</xdr:colOff>
      <xdr:row>73</xdr:row>
      <xdr:rowOff>66675</xdr:rowOff>
    </xdr:to>
    <xdr:graphicFrame>
      <xdr:nvGraphicFramePr>
        <xdr:cNvPr id="2" name="Chart 5"/>
        <xdr:cNvGraphicFramePr/>
      </xdr:nvGraphicFramePr>
      <xdr:xfrm>
        <a:off x="790575" y="8953500"/>
        <a:ext cx="81153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</xdr:row>
      <xdr:rowOff>0</xdr:rowOff>
    </xdr:from>
    <xdr:to>
      <xdr:col>3</xdr:col>
      <xdr:colOff>657225</xdr:colOff>
      <xdr:row>5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61950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47625</xdr:rowOff>
    </xdr:from>
    <xdr:to>
      <xdr:col>3</xdr:col>
      <xdr:colOff>523875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3</xdr:row>
      <xdr:rowOff>28575</xdr:rowOff>
    </xdr:from>
    <xdr:to>
      <xdr:col>16</xdr:col>
      <xdr:colOff>276225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514350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71</xdr:row>
      <xdr:rowOff>19050</xdr:rowOff>
    </xdr:from>
    <xdr:to>
      <xdr:col>23</xdr:col>
      <xdr:colOff>228600</xdr:colOff>
      <xdr:row>92</xdr:row>
      <xdr:rowOff>85725</xdr:rowOff>
    </xdr:to>
    <xdr:graphicFrame>
      <xdr:nvGraphicFramePr>
        <xdr:cNvPr id="3" name="Chart 6"/>
        <xdr:cNvGraphicFramePr/>
      </xdr:nvGraphicFramePr>
      <xdr:xfrm>
        <a:off x="11125200" y="12773025"/>
        <a:ext cx="75628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781050</xdr:colOff>
      <xdr:row>41</xdr:row>
      <xdr:rowOff>38100</xdr:rowOff>
    </xdr:from>
    <xdr:to>
      <xdr:col>29</xdr:col>
      <xdr:colOff>257175</xdr:colOff>
      <xdr:row>60</xdr:row>
      <xdr:rowOff>95250</xdr:rowOff>
    </xdr:to>
    <xdr:graphicFrame>
      <xdr:nvGraphicFramePr>
        <xdr:cNvPr id="4" name="Chart 7"/>
        <xdr:cNvGraphicFramePr/>
      </xdr:nvGraphicFramePr>
      <xdr:xfrm>
        <a:off x="13696950" y="7496175"/>
        <a:ext cx="865822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104775</xdr:rowOff>
    </xdr:from>
    <xdr:to>
      <xdr:col>2</xdr:col>
      <xdr:colOff>123825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28625"/>
          <a:ext cx="2733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2"/>
  <sheetViews>
    <sheetView tabSelected="1" workbookViewId="0" topLeftCell="A28">
      <selection activeCell="F30" sqref="F30:G30"/>
    </sheetView>
  </sheetViews>
  <sheetFormatPr defaultColWidth="11.421875" defaultRowHeight="12.75"/>
  <cols>
    <col min="1" max="1" width="4.28125" style="0" customWidth="1"/>
    <col min="2" max="2" width="9.00390625" style="0" customWidth="1"/>
    <col min="3" max="3" width="14.28125" style="0" customWidth="1"/>
    <col min="4" max="6" width="12.8515625" style="0" customWidth="1"/>
    <col min="7" max="7" width="14.00390625" style="0" customWidth="1"/>
    <col min="8" max="8" width="12.57421875" style="0" customWidth="1"/>
    <col min="9" max="9" width="10.28125" style="0" customWidth="1"/>
    <col min="10" max="10" width="13.8515625" style="0" customWidth="1"/>
    <col min="11" max="11" width="14.7109375" style="0" customWidth="1"/>
    <col min="12" max="12" width="13.28125" style="0" customWidth="1"/>
  </cols>
  <sheetData>
    <row r="3" spans="5:11" ht="12.75">
      <c r="E3" s="1"/>
      <c r="F3" s="1"/>
      <c r="G3" s="1"/>
      <c r="H3" s="1"/>
      <c r="I3" s="1"/>
      <c r="J3" s="1"/>
      <c r="K3" s="1"/>
    </row>
    <row r="4" spans="5:11" ht="12.75">
      <c r="E4" s="1"/>
      <c r="F4" s="1"/>
      <c r="G4" s="1"/>
      <c r="H4" s="1"/>
      <c r="I4" s="1"/>
      <c r="J4" s="1"/>
      <c r="K4" s="1"/>
    </row>
    <row r="5" spans="5:11" ht="12.75">
      <c r="E5" s="1"/>
      <c r="F5" s="1"/>
      <c r="G5" s="1"/>
      <c r="H5" s="1"/>
      <c r="I5" s="1"/>
      <c r="J5" s="1"/>
      <c r="K5" s="1"/>
    </row>
    <row r="6" spans="3:11" ht="12.75">
      <c r="C6" s="1"/>
      <c r="D6" s="1"/>
      <c r="E6" s="1"/>
      <c r="F6" s="1"/>
      <c r="G6" s="1"/>
      <c r="H6" s="1"/>
      <c r="I6" s="1"/>
      <c r="J6" s="1"/>
      <c r="K6" s="1"/>
    </row>
    <row r="7" spans="3:11" ht="13.5" thickBot="1">
      <c r="C7" s="1"/>
      <c r="D7" s="1"/>
      <c r="E7" s="1"/>
      <c r="F7" s="1"/>
      <c r="G7" s="1"/>
      <c r="H7" s="1"/>
      <c r="I7" s="1"/>
      <c r="J7" s="1"/>
      <c r="K7" s="1"/>
    </row>
    <row r="8" spans="2:11" ht="21.75" thickBot="1" thickTop="1">
      <c r="B8" s="2" t="s">
        <v>0</v>
      </c>
      <c r="C8" s="1"/>
      <c r="D8" s="1"/>
      <c r="E8" s="386" t="s">
        <v>99</v>
      </c>
      <c r="F8" s="387"/>
      <c r="G8" s="387"/>
      <c r="H8" s="388"/>
      <c r="J8" s="1"/>
      <c r="K8" s="1"/>
    </row>
    <row r="9" spans="3:11" ht="14.25" thickBot="1" thickTop="1">
      <c r="C9" s="1"/>
      <c r="D9" s="1"/>
      <c r="E9" s="1"/>
      <c r="F9" s="1"/>
      <c r="G9" s="1"/>
      <c r="H9" s="1"/>
      <c r="I9" s="1"/>
      <c r="J9" s="1"/>
      <c r="K9" s="1"/>
    </row>
    <row r="10" spans="2:12" ht="15" thickBot="1" thickTop="1">
      <c r="B10" s="136" t="s">
        <v>1</v>
      </c>
      <c r="C10" s="209" t="s">
        <v>34</v>
      </c>
      <c r="D10" s="209" t="s">
        <v>3</v>
      </c>
      <c r="E10" s="209" t="s">
        <v>4</v>
      </c>
      <c r="F10" s="209" t="s">
        <v>5</v>
      </c>
      <c r="G10" s="210" t="s">
        <v>54</v>
      </c>
      <c r="H10" s="209" t="s">
        <v>56</v>
      </c>
      <c r="I10" s="209" t="s">
        <v>48</v>
      </c>
      <c r="J10" s="211" t="s">
        <v>57</v>
      </c>
      <c r="K10" s="209" t="s">
        <v>6</v>
      </c>
      <c r="L10" s="212" t="s">
        <v>7</v>
      </c>
    </row>
    <row r="11" spans="2:12" ht="12.75">
      <c r="B11" s="233" t="s">
        <v>8</v>
      </c>
      <c r="C11" s="85">
        <v>169538796.33</v>
      </c>
      <c r="D11" s="31">
        <v>7229770.54</v>
      </c>
      <c r="E11" s="31">
        <v>10028281.1</v>
      </c>
      <c r="F11" s="31">
        <v>16822934.6</v>
      </c>
      <c r="G11" s="31">
        <v>2975748.06</v>
      </c>
      <c r="H11" s="31">
        <v>0</v>
      </c>
      <c r="I11" s="86">
        <v>135686.7</v>
      </c>
      <c r="J11" s="138">
        <f>SUM(C11:I11)</f>
        <v>206731217.32999998</v>
      </c>
      <c r="K11" s="141">
        <v>28260138.34</v>
      </c>
      <c r="L11" s="143">
        <f aca="true" t="shared" si="0" ref="L11:L22">+J11+K11</f>
        <v>234991355.67</v>
      </c>
    </row>
    <row r="12" spans="2:12" ht="12.75">
      <c r="B12" s="234" t="s">
        <v>9</v>
      </c>
      <c r="C12" s="85">
        <v>144824623.28</v>
      </c>
      <c r="D12" s="31">
        <v>57912851.46</v>
      </c>
      <c r="E12" s="31">
        <v>21556753.92</v>
      </c>
      <c r="F12" s="31">
        <v>20173862.96</v>
      </c>
      <c r="G12" s="31">
        <v>3619278.1</v>
      </c>
      <c r="H12" s="31">
        <v>0</v>
      </c>
      <c r="I12" s="86">
        <v>89005.05</v>
      </c>
      <c r="J12" s="139">
        <f>SUM(C12:I12)</f>
        <v>248176374.77000004</v>
      </c>
      <c r="K12" s="141">
        <v>23058946.71</v>
      </c>
      <c r="L12" s="144">
        <f t="shared" si="0"/>
        <v>271235321.48</v>
      </c>
    </row>
    <row r="13" spans="2:12" ht="12.75">
      <c r="B13" s="234" t="s">
        <v>10</v>
      </c>
      <c r="C13" s="85">
        <v>153537840.03</v>
      </c>
      <c r="D13" s="31">
        <v>14929133.94</v>
      </c>
      <c r="E13" s="31">
        <v>80627475.77</v>
      </c>
      <c r="F13" s="31">
        <v>22077336.64</v>
      </c>
      <c r="G13" s="31">
        <v>3690363.91</v>
      </c>
      <c r="H13" s="31">
        <v>0</v>
      </c>
      <c r="I13" s="86">
        <v>61233.77</v>
      </c>
      <c r="J13" s="139">
        <f aca="true" t="shared" si="1" ref="J13:J22">SUM(C13:I13)</f>
        <v>274923384.06</v>
      </c>
      <c r="K13" s="141">
        <v>37073863.65</v>
      </c>
      <c r="L13" s="144">
        <f t="shared" si="0"/>
        <v>311997247.71</v>
      </c>
    </row>
    <row r="14" spans="2:12" ht="12.75">
      <c r="B14" s="234" t="s">
        <v>11</v>
      </c>
      <c r="C14" s="85">
        <v>169492223.4</v>
      </c>
      <c r="D14" s="31">
        <v>11199514.89</v>
      </c>
      <c r="E14" s="31">
        <v>22996467.78</v>
      </c>
      <c r="F14" s="31">
        <v>20714715.19</v>
      </c>
      <c r="G14" s="31">
        <v>3917894.72</v>
      </c>
      <c r="H14" s="31">
        <v>0</v>
      </c>
      <c r="I14" s="86">
        <v>88366.55</v>
      </c>
      <c r="J14" s="139">
        <f t="shared" si="1"/>
        <v>228409182.53000003</v>
      </c>
      <c r="K14" s="141">
        <v>30239990.91</v>
      </c>
      <c r="L14" s="144">
        <f t="shared" si="0"/>
        <v>258649173.44000003</v>
      </c>
    </row>
    <row r="15" spans="2:12" ht="12.75">
      <c r="B15" s="234" t="s">
        <v>12</v>
      </c>
      <c r="C15" s="85">
        <v>166663370.28</v>
      </c>
      <c r="D15" s="31">
        <v>11005499.19</v>
      </c>
      <c r="E15" s="31">
        <v>21218650.97</v>
      </c>
      <c r="F15" s="31">
        <v>20193967.5</v>
      </c>
      <c r="G15" s="31">
        <v>3897118.01</v>
      </c>
      <c r="H15" s="31">
        <v>0</v>
      </c>
      <c r="I15" s="86">
        <v>97126.18</v>
      </c>
      <c r="J15" s="139">
        <f t="shared" si="1"/>
        <v>223075732.13</v>
      </c>
      <c r="K15" s="141">
        <v>29370330.73</v>
      </c>
      <c r="L15" s="144">
        <f t="shared" si="0"/>
        <v>252446062.85999998</v>
      </c>
    </row>
    <row r="16" spans="2:12" ht="12.75">
      <c r="B16" s="234" t="s">
        <v>13</v>
      </c>
      <c r="C16" s="85">
        <v>161504663.95</v>
      </c>
      <c r="D16" s="31">
        <v>12040065.12</v>
      </c>
      <c r="E16" s="31">
        <v>20466838.57</v>
      </c>
      <c r="F16" s="31">
        <v>18061394.63</v>
      </c>
      <c r="G16" s="31">
        <v>3525453.1</v>
      </c>
      <c r="H16" s="31">
        <v>0</v>
      </c>
      <c r="I16" s="86">
        <v>54223.64</v>
      </c>
      <c r="J16" s="139">
        <f t="shared" si="1"/>
        <v>215652639.00999996</v>
      </c>
      <c r="K16" s="141">
        <v>29215088.48</v>
      </c>
      <c r="L16" s="144">
        <f t="shared" si="0"/>
        <v>244867727.48999995</v>
      </c>
    </row>
    <row r="17" spans="2:12" ht="12.75">
      <c r="B17" s="234" t="s">
        <v>14</v>
      </c>
      <c r="C17" s="85">
        <v>180715469.28</v>
      </c>
      <c r="D17" s="31">
        <v>14284225.08</v>
      </c>
      <c r="E17" s="31">
        <v>29789653.64</v>
      </c>
      <c r="F17" s="31">
        <v>19928633.04</v>
      </c>
      <c r="G17" s="31">
        <v>3863818.17</v>
      </c>
      <c r="H17" s="31">
        <v>0</v>
      </c>
      <c r="I17" s="86">
        <v>476121.28</v>
      </c>
      <c r="J17" s="139">
        <f t="shared" si="1"/>
        <v>249057920.48999998</v>
      </c>
      <c r="K17" s="141">
        <v>31736886.61</v>
      </c>
      <c r="L17" s="144">
        <f t="shared" si="0"/>
        <v>280794807.09999996</v>
      </c>
    </row>
    <row r="18" spans="2:12" ht="12.75">
      <c r="B18" s="234" t="s">
        <v>15</v>
      </c>
      <c r="C18" s="85">
        <v>194476037.88</v>
      </c>
      <c r="D18" s="31">
        <v>12141615.09</v>
      </c>
      <c r="E18" s="31">
        <v>34682365.48</v>
      </c>
      <c r="F18" s="31">
        <v>23721330.24</v>
      </c>
      <c r="G18" s="31">
        <v>4616472.65</v>
      </c>
      <c r="H18" s="31">
        <v>0</v>
      </c>
      <c r="I18" s="86">
        <v>117495.16</v>
      </c>
      <c r="J18" s="139">
        <f t="shared" si="1"/>
        <v>269755316.5</v>
      </c>
      <c r="K18" s="141">
        <v>34996279.85</v>
      </c>
      <c r="L18" s="144">
        <f t="shared" si="0"/>
        <v>304751596.35</v>
      </c>
    </row>
    <row r="19" spans="2:12" ht="12.75">
      <c r="B19" s="234" t="s">
        <v>44</v>
      </c>
      <c r="C19" s="85">
        <v>185644146.19</v>
      </c>
      <c r="D19" s="31">
        <v>9957384.86</v>
      </c>
      <c r="E19" s="31">
        <v>23921971.68</v>
      </c>
      <c r="F19" s="31">
        <v>27759911.6</v>
      </c>
      <c r="G19" s="31">
        <v>5425423.79</v>
      </c>
      <c r="H19" s="31">
        <v>0</v>
      </c>
      <c r="I19" s="86">
        <v>169108.21</v>
      </c>
      <c r="J19" s="139">
        <f t="shared" si="1"/>
        <v>252877946.33</v>
      </c>
      <c r="K19" s="141">
        <v>34518488.23</v>
      </c>
      <c r="L19" s="144">
        <f t="shared" si="0"/>
        <v>287396434.56</v>
      </c>
    </row>
    <row r="20" spans="2:12" ht="12.75">
      <c r="B20" s="234" t="s">
        <v>17</v>
      </c>
      <c r="C20" s="85">
        <v>185456426.36</v>
      </c>
      <c r="D20" s="31">
        <v>9039365.22</v>
      </c>
      <c r="E20" s="31">
        <v>20665610.85</v>
      </c>
      <c r="F20" s="31">
        <v>25491803.35</v>
      </c>
      <c r="G20" s="31">
        <v>4991225.9</v>
      </c>
      <c r="H20" s="31">
        <v>0</v>
      </c>
      <c r="I20" s="86">
        <v>78634.37</v>
      </c>
      <c r="J20" s="139">
        <f t="shared" si="1"/>
        <v>245723066.05</v>
      </c>
      <c r="K20" s="141">
        <v>33345050.12</v>
      </c>
      <c r="L20" s="144">
        <f t="shared" si="0"/>
        <v>279068116.17</v>
      </c>
    </row>
    <row r="21" spans="2:12" ht="12.75">
      <c r="B21" s="234" t="s">
        <v>18</v>
      </c>
      <c r="C21" s="85">
        <v>196518594.89</v>
      </c>
      <c r="D21" s="31">
        <v>10381893.45</v>
      </c>
      <c r="E21" s="31">
        <v>24787187.28</v>
      </c>
      <c r="F21" s="31">
        <v>23345086.34</v>
      </c>
      <c r="G21" s="31">
        <v>4545061.93</v>
      </c>
      <c r="H21" s="31">
        <v>0</v>
      </c>
      <c r="I21" s="86">
        <v>104222.2</v>
      </c>
      <c r="J21" s="139">
        <f t="shared" si="1"/>
        <v>259682046.08999997</v>
      </c>
      <c r="K21" s="141">
        <v>34405342.57</v>
      </c>
      <c r="L21" s="144">
        <f t="shared" si="0"/>
        <v>294087388.65999997</v>
      </c>
    </row>
    <row r="22" spans="2:12" ht="13.5" thickBot="1">
      <c r="B22" s="235" t="s">
        <v>19</v>
      </c>
      <c r="C22" s="87">
        <v>205475045.45</v>
      </c>
      <c r="D22" s="32">
        <v>10203811.43</v>
      </c>
      <c r="E22" s="32">
        <v>24852445.18</v>
      </c>
      <c r="F22" s="32">
        <v>23955926.28</v>
      </c>
      <c r="G22" s="32">
        <v>4656736.23</v>
      </c>
      <c r="H22" s="32">
        <v>0</v>
      </c>
      <c r="I22" s="88">
        <v>51395.66</v>
      </c>
      <c r="J22" s="140">
        <f t="shared" si="1"/>
        <v>269195360.23</v>
      </c>
      <c r="K22" s="142">
        <v>35276548.21</v>
      </c>
      <c r="L22" s="145">
        <f t="shared" si="0"/>
        <v>304471908.44</v>
      </c>
    </row>
    <row r="23" spans="2:12" ht="15" thickBot="1" thickTop="1">
      <c r="B23" s="137" t="s">
        <v>7</v>
      </c>
      <c r="C23" s="33">
        <f aca="true" t="shared" si="2" ref="C23:K23">SUM(C11:C22)</f>
        <v>2113847237.32</v>
      </c>
      <c r="D23" s="33">
        <f t="shared" si="2"/>
        <v>180325130.27</v>
      </c>
      <c r="E23" s="33">
        <f t="shared" si="2"/>
        <v>335593702.21999997</v>
      </c>
      <c r="F23" s="33">
        <f t="shared" si="2"/>
        <v>262246902.37</v>
      </c>
      <c r="G23" s="33">
        <f t="shared" si="2"/>
        <v>49724594.56999999</v>
      </c>
      <c r="H23" s="33">
        <f t="shared" si="2"/>
        <v>0</v>
      </c>
      <c r="I23" s="33">
        <f t="shared" si="2"/>
        <v>1522618.77</v>
      </c>
      <c r="J23" s="34">
        <f t="shared" si="2"/>
        <v>2943260185.5200005</v>
      </c>
      <c r="K23" s="33">
        <f t="shared" si="2"/>
        <v>381496954.4099999</v>
      </c>
      <c r="L23" s="38">
        <f>SUM(L11:L22)</f>
        <v>3324757139.93</v>
      </c>
    </row>
    <row r="24" spans="2:12" ht="13.5" thickTop="1">
      <c r="B24" s="9" t="s">
        <v>20</v>
      </c>
      <c r="C24" s="21">
        <f aca="true" t="shared" si="3" ref="C24:I24">+C23*100/$L23</f>
        <v>63.57899685161682</v>
      </c>
      <c r="D24" s="21">
        <f t="shared" si="3"/>
        <v>5.423708339605118</v>
      </c>
      <c r="E24" s="21">
        <f t="shared" si="3"/>
        <v>10.093780931832683</v>
      </c>
      <c r="F24" s="21">
        <f t="shared" si="3"/>
        <v>7.887701005900281</v>
      </c>
      <c r="G24" s="21">
        <f t="shared" si="3"/>
        <v>1.495585766936556</v>
      </c>
      <c r="H24" s="21">
        <f t="shared" si="3"/>
        <v>0</v>
      </c>
      <c r="I24" s="21">
        <f t="shared" si="3"/>
        <v>0.0457963907111741</v>
      </c>
      <c r="K24" s="21">
        <f>+K23*100/$L23</f>
        <v>11.474430713397371</v>
      </c>
      <c r="L24" s="18">
        <f>+L23*100/$L23</f>
        <v>100</v>
      </c>
    </row>
    <row r="25" ht="12.75">
      <c r="L25" s="1"/>
    </row>
    <row r="26" ht="13.5" thickBot="1"/>
    <row r="27" spans="2:13" ht="15" thickBot="1" thickTop="1">
      <c r="B27" s="25" t="s">
        <v>41</v>
      </c>
      <c r="C27" s="323">
        <f>C23/12</f>
        <v>176153936.44333333</v>
      </c>
      <c r="D27" s="323">
        <f aca="true" t="shared" si="4" ref="D27:I27">D23/12</f>
        <v>15027094.189166667</v>
      </c>
      <c r="E27" s="323">
        <f t="shared" si="4"/>
        <v>27966141.851666663</v>
      </c>
      <c r="F27" s="323">
        <f t="shared" si="4"/>
        <v>21853908.530833334</v>
      </c>
      <c r="G27" s="323">
        <f t="shared" si="4"/>
        <v>4143716.214166666</v>
      </c>
      <c r="H27" s="323">
        <f t="shared" si="4"/>
        <v>0</v>
      </c>
      <c r="I27" s="323">
        <f t="shared" si="4"/>
        <v>126884.8975</v>
      </c>
      <c r="J27" s="314">
        <f>J23/12</f>
        <v>245271682.1266667</v>
      </c>
      <c r="K27" s="315">
        <f>K23/12</f>
        <v>31791412.867499992</v>
      </c>
      <c r="L27" s="316">
        <f>L23/12</f>
        <v>277063094.9941667</v>
      </c>
      <c r="M27" s="30"/>
    </row>
    <row r="28" ht="13.5" thickTop="1"/>
    <row r="29" ht="13.5" thickBot="1">
      <c r="H29" s="10"/>
    </row>
    <row r="30" spans="2:9" ht="18" thickBot="1" thickTop="1">
      <c r="B30" s="383" t="s">
        <v>110</v>
      </c>
      <c r="C30" s="383"/>
      <c r="D30" s="383"/>
      <c r="E30" s="383"/>
      <c r="F30" s="384">
        <f>L23</f>
        <v>3324757139.93</v>
      </c>
      <c r="G30" s="385"/>
      <c r="H30" s="10"/>
      <c r="I30" s="29"/>
    </row>
    <row r="31" ht="13.5" thickTop="1">
      <c r="H31" s="10"/>
    </row>
    <row r="33" spans="7:10" ht="12.75">
      <c r="G33" s="151"/>
      <c r="H33" s="151"/>
      <c r="I33" s="151"/>
      <c r="J33" s="151"/>
    </row>
    <row r="34" spans="7:10" ht="12.75">
      <c r="G34" s="151"/>
      <c r="H34" s="151"/>
      <c r="I34" s="151"/>
      <c r="J34" s="151"/>
    </row>
    <row r="61" ht="13.5" thickBot="1"/>
    <row r="62" spans="3:6" ht="15" thickTop="1">
      <c r="C62" s="181" t="s">
        <v>45</v>
      </c>
      <c r="E62" s="173" t="s">
        <v>73</v>
      </c>
      <c r="F62" s="207" t="s">
        <v>73</v>
      </c>
    </row>
    <row r="63" spans="2:6" ht="15.75" thickBot="1">
      <c r="B63" s="17" t="s">
        <v>1</v>
      </c>
      <c r="C63" s="182">
        <v>2016</v>
      </c>
      <c r="D63" s="22" t="s">
        <v>20</v>
      </c>
      <c r="E63" s="173" t="s">
        <v>74</v>
      </c>
      <c r="F63" s="208" t="s">
        <v>89</v>
      </c>
    </row>
    <row r="64" spans="2:6" ht="14.25" thickTop="1">
      <c r="B64" s="229" t="s">
        <v>8</v>
      </c>
      <c r="C64" s="35">
        <v>234991355.67</v>
      </c>
      <c r="D64" s="273">
        <f>C64*100/C76</f>
        <v>7.067925438756936</v>
      </c>
      <c r="E64" s="273">
        <f>+C64*100/219760284.61-100</f>
        <v>6.930765987598704</v>
      </c>
      <c r="F64" s="273">
        <f>+C64*100/205440886.08-100</f>
        <v>14.383928220837618</v>
      </c>
    </row>
    <row r="65" spans="2:6" ht="13.5">
      <c r="B65" s="229" t="s">
        <v>9</v>
      </c>
      <c r="C65" s="213">
        <v>271235321.48</v>
      </c>
      <c r="D65" s="273">
        <f>C65*100/C76</f>
        <v>8.158049146582497</v>
      </c>
      <c r="E65" s="273">
        <f aca="true" t="shared" si="5" ref="E65:E70">+C65*100/C64-100</f>
        <v>15.423531519558395</v>
      </c>
      <c r="F65" s="273">
        <f>+C65*100/215298311.63-100</f>
        <v>25.981165122246907</v>
      </c>
    </row>
    <row r="66" spans="2:6" ht="13.5">
      <c r="B66" s="229" t="s">
        <v>10</v>
      </c>
      <c r="C66" s="213">
        <v>311997247.71</v>
      </c>
      <c r="D66" s="273">
        <f>C66*100/C76</f>
        <v>9.384061288656074</v>
      </c>
      <c r="E66" s="273">
        <f t="shared" si="5"/>
        <v>15.028251485677387</v>
      </c>
      <c r="F66" s="273">
        <f>+C66*100/253722016.01-100</f>
        <v>22.968141518197285</v>
      </c>
    </row>
    <row r="67" spans="2:6" ht="13.5">
      <c r="B67" s="229" t="s">
        <v>11</v>
      </c>
      <c r="C67" s="213">
        <v>258649173.44</v>
      </c>
      <c r="D67" s="273">
        <f>C67*100/C76</f>
        <v>7.779490728319653</v>
      </c>
      <c r="E67" s="320">
        <f t="shared" si="5"/>
        <v>-17.098892590099638</v>
      </c>
      <c r="F67" s="273">
        <f>+C67*100/209244928.51-100</f>
        <v>23.610725135275587</v>
      </c>
    </row>
    <row r="68" spans="2:6" ht="13.5">
      <c r="B68" s="229" t="s">
        <v>12</v>
      </c>
      <c r="C68" s="213">
        <v>252446062.86</v>
      </c>
      <c r="D68" s="273">
        <f>C68*100/C76</f>
        <v>7.592917384194716</v>
      </c>
      <c r="E68" s="320">
        <f t="shared" si="5"/>
        <v>-2.39827195173271</v>
      </c>
      <c r="F68" s="273">
        <f>+C68*100/212803545.2-100</f>
        <v>18.628692309962517</v>
      </c>
    </row>
    <row r="69" spans="2:6" ht="13.5">
      <c r="B69" s="229" t="s">
        <v>13</v>
      </c>
      <c r="C69" s="213">
        <v>244867727.49</v>
      </c>
      <c r="D69" s="273">
        <f>C69*100/C76</f>
        <v>7.364980874818288</v>
      </c>
      <c r="E69" s="320">
        <f t="shared" si="5"/>
        <v>-3.001962195070064</v>
      </c>
      <c r="F69" s="273">
        <f>+C69*100/207394303.24-100</f>
        <v>18.06868542895083</v>
      </c>
    </row>
    <row r="70" spans="2:6" ht="13.5">
      <c r="B70" s="229" t="s">
        <v>14</v>
      </c>
      <c r="C70" s="213">
        <v>280794807.1</v>
      </c>
      <c r="D70" s="273">
        <f>C70*100/C76</f>
        <v>8.4455734744557</v>
      </c>
      <c r="E70" s="274">
        <f t="shared" si="5"/>
        <v>14.672035379373227</v>
      </c>
      <c r="F70" s="273">
        <f>+C70*100/220610391.59-100</f>
        <v>27.28086155698938</v>
      </c>
    </row>
    <row r="71" spans="2:6" ht="13.5">
      <c r="B71" s="229" t="s">
        <v>15</v>
      </c>
      <c r="C71" s="213">
        <v>304751596.35</v>
      </c>
      <c r="D71" s="273">
        <f>C71*100/C76</f>
        <v>9.166131044278812</v>
      </c>
      <c r="E71" s="274">
        <f>+C71*100/C70-100</f>
        <v>8.53177788343794</v>
      </c>
      <c r="F71" s="273">
        <f>+C71*100/214534199.12-100</f>
        <v>42.05268791645514</v>
      </c>
    </row>
    <row r="72" spans="2:6" ht="13.5">
      <c r="B72" s="229" t="s">
        <v>16</v>
      </c>
      <c r="C72" s="213">
        <v>287396434.56</v>
      </c>
      <c r="D72" s="273">
        <f>C72*100/C76</f>
        <v>8.644133164145966</v>
      </c>
      <c r="E72" s="320">
        <f>+C72*100/C71-100</f>
        <v>-5.694855087836203</v>
      </c>
      <c r="F72" s="273">
        <f>+C72*100/214924343.78-100</f>
        <v>33.71981484525716</v>
      </c>
    </row>
    <row r="73" spans="2:6" ht="13.5">
      <c r="B73" s="229" t="s">
        <v>17</v>
      </c>
      <c r="C73" s="213">
        <v>279068116.17</v>
      </c>
      <c r="D73" s="273">
        <f>C73*100/C76</f>
        <v>8.393639126852904</v>
      </c>
      <c r="E73" s="320">
        <f>+C73*100/C72-100</f>
        <v>-2.897850282224468</v>
      </c>
      <c r="F73" s="273">
        <f>+C73*100/212522494.07-100</f>
        <v>31.312272327314872</v>
      </c>
    </row>
    <row r="74" spans="2:6" ht="13.5">
      <c r="B74" s="229" t="s">
        <v>18</v>
      </c>
      <c r="C74" s="213">
        <v>294087388.66</v>
      </c>
      <c r="D74" s="273">
        <f>C74*100/C76</f>
        <v>8.845379565564052</v>
      </c>
      <c r="E74" s="274">
        <f>+C74*100/C73-100</f>
        <v>5.381937820818891</v>
      </c>
      <c r="F74" s="273">
        <f>+C74*100/219945235.21-100</f>
        <v>33.70937014353157</v>
      </c>
    </row>
    <row r="75" spans="2:6" ht="14.25" thickBot="1">
      <c r="B75" s="229" t="s">
        <v>19</v>
      </c>
      <c r="C75" s="214">
        <v>304471908.44</v>
      </c>
      <c r="D75" s="273">
        <f>C75*100/C76</f>
        <v>9.15771876337441</v>
      </c>
      <c r="E75" s="274">
        <f>+C75*100/C74-100</f>
        <v>3.5310999996690526</v>
      </c>
      <c r="F75" s="273">
        <f>+C75*100/219760284.61-100</f>
        <v>38.54728527510528</v>
      </c>
    </row>
    <row r="76" spans="2:4" ht="15" thickBot="1" thickTop="1">
      <c r="B76" s="110" t="s">
        <v>38</v>
      </c>
      <c r="C76" s="286">
        <f>SUM(C64:C75)</f>
        <v>3324757139.93</v>
      </c>
      <c r="D76" s="19">
        <f>C76*100/C76</f>
        <v>100</v>
      </c>
    </row>
    <row r="77" spans="2:3" ht="13.5" thickTop="1">
      <c r="B77" s="111" t="s">
        <v>41</v>
      </c>
      <c r="C77" s="36">
        <f>C76/12</f>
        <v>277063094.9941667</v>
      </c>
    </row>
    <row r="81" ht="12.75">
      <c r="H81" s="151"/>
    </row>
    <row r="82" ht="12.75">
      <c r="H82" s="151"/>
    </row>
  </sheetData>
  <mergeCells count="3">
    <mergeCell ref="B30:E30"/>
    <mergeCell ref="F30:G30"/>
    <mergeCell ref="E8:H8"/>
  </mergeCells>
  <printOptions horizontalCentered="1"/>
  <pageMargins left="0.75" right="0.75" top="1.5748031496062993" bottom="1" header="0" footer="0"/>
  <pageSetup horizontalDpi="600" verticalDpi="600" orientation="landscape" paperSize="9" r:id="rId2"/>
  <ignoredErrors>
    <ignoredError sqref="K23:L23 C23:J23 J14:J22 L14:L22" emptyCellReference="1"/>
    <ignoredError sqref="C76" emptyCellReference="1" formulaRange="1"/>
    <ignoredError sqref="C24:L24 D64 D7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3"/>
  <sheetViews>
    <sheetView workbookViewId="0" topLeftCell="A9">
      <selection activeCell="A11" sqref="A11:F11"/>
    </sheetView>
  </sheetViews>
  <sheetFormatPr defaultColWidth="11.421875" defaultRowHeight="12.75"/>
  <cols>
    <col min="1" max="1" width="31.421875" style="0" customWidth="1"/>
    <col min="2" max="2" width="20.7109375" style="0" customWidth="1"/>
    <col min="3" max="4" width="18.8515625" style="0" customWidth="1"/>
    <col min="5" max="5" width="11.7109375" style="0" customWidth="1"/>
    <col min="6" max="6" width="19.7109375" style="0" customWidth="1"/>
    <col min="7" max="7" width="18.7109375" style="0" customWidth="1"/>
    <col min="8" max="8" width="11.7109375" style="0" customWidth="1"/>
    <col min="9" max="9" width="12.00390625" style="0" customWidth="1"/>
    <col min="10" max="10" width="12.8515625" style="0" customWidth="1"/>
    <col min="11" max="11" width="14.140625" style="0" customWidth="1"/>
  </cols>
  <sheetData>
    <row r="4" ht="12.75">
      <c r="C4" s="23"/>
    </row>
    <row r="10" spans="1:6" ht="15">
      <c r="A10" s="389" t="s">
        <v>52</v>
      </c>
      <c r="B10" s="389"/>
      <c r="C10" s="389"/>
      <c r="D10" s="389"/>
      <c r="E10" s="389"/>
      <c r="F10" s="389"/>
    </row>
    <row r="11" spans="1:6" ht="18">
      <c r="A11" s="390" t="s">
        <v>111</v>
      </c>
      <c r="B11" s="390"/>
      <c r="C11" s="390"/>
      <c r="D11" s="390"/>
      <c r="E11" s="390"/>
      <c r="F11" s="390"/>
    </row>
    <row r="13" spans="1:7" ht="14.25">
      <c r="A13" s="180" t="s">
        <v>53</v>
      </c>
      <c r="B13" s="172"/>
      <c r="G13" t="s">
        <v>39</v>
      </c>
    </row>
    <row r="14" ht="13.5" thickBot="1"/>
    <row r="15" spans="1:8" ht="14.25" thickTop="1">
      <c r="A15" s="10"/>
      <c r="B15" s="334" t="s">
        <v>21</v>
      </c>
      <c r="C15" s="175" t="s">
        <v>21</v>
      </c>
      <c r="D15" s="337" t="s">
        <v>28</v>
      </c>
      <c r="E15" s="340" t="s">
        <v>22</v>
      </c>
      <c r="F15" s="331" t="s">
        <v>21</v>
      </c>
      <c r="G15" s="328" t="s">
        <v>28</v>
      </c>
      <c r="H15" s="340" t="s">
        <v>22</v>
      </c>
    </row>
    <row r="16" spans="1:8" ht="14.25">
      <c r="A16" s="324" t="s">
        <v>23</v>
      </c>
      <c r="B16" s="335" t="s">
        <v>112</v>
      </c>
      <c r="C16" s="174" t="s">
        <v>109</v>
      </c>
      <c r="D16" s="338" t="s">
        <v>49</v>
      </c>
      <c r="E16" s="341" t="s">
        <v>24</v>
      </c>
      <c r="F16" s="332" t="s">
        <v>113</v>
      </c>
      <c r="G16" s="329" t="s">
        <v>49</v>
      </c>
      <c r="H16" s="341" t="s">
        <v>25</v>
      </c>
    </row>
    <row r="17" spans="1:8" ht="15.75" thickBot="1">
      <c r="A17" s="325"/>
      <c r="B17" s="336"/>
      <c r="C17" s="26"/>
      <c r="D17" s="339" t="s">
        <v>50</v>
      </c>
      <c r="E17" s="342" t="s">
        <v>26</v>
      </c>
      <c r="F17" s="333"/>
      <c r="G17" s="330" t="s">
        <v>51</v>
      </c>
      <c r="H17" s="342" t="s">
        <v>26</v>
      </c>
    </row>
    <row r="18" spans="1:8" ht="15.75" thickTop="1">
      <c r="A18" s="176" t="s">
        <v>2</v>
      </c>
      <c r="B18" s="113">
        <v>205475045.45</v>
      </c>
      <c r="C18" s="15">
        <v>196518594.89</v>
      </c>
      <c r="D18" s="327">
        <f>+B18-C18</f>
        <v>8956450.560000002</v>
      </c>
      <c r="E18" s="263">
        <f>+B18*100/C18-100</f>
        <v>4.557558822875421</v>
      </c>
      <c r="F18" s="326">
        <v>146350188.32</v>
      </c>
      <c r="G18" s="327">
        <f>+B18-F18</f>
        <v>59124857.129999995</v>
      </c>
      <c r="H18" s="263">
        <f>+B18*100/F18-100</f>
        <v>40.39957707517354</v>
      </c>
    </row>
    <row r="19" spans="1:8" ht="15">
      <c r="A19" s="177"/>
      <c r="B19" s="94"/>
      <c r="C19" s="24"/>
      <c r="D19" s="24"/>
      <c r="E19" s="265"/>
      <c r="F19" s="37"/>
      <c r="G19" s="37"/>
      <c r="H19" s="264"/>
    </row>
    <row r="20" spans="1:8" ht="15">
      <c r="A20" s="178" t="s">
        <v>32</v>
      </c>
      <c r="B20" s="95">
        <v>57369173.27</v>
      </c>
      <c r="C20" s="24">
        <v>56779419.22</v>
      </c>
      <c r="D20" s="15">
        <f>+B20-C20</f>
        <v>589754.0500000045</v>
      </c>
      <c r="E20" s="263">
        <f>+B20*100/C20-100</f>
        <v>1.038675735154868</v>
      </c>
      <c r="F20" s="37">
        <v>44511428.1</v>
      </c>
      <c r="G20" s="15">
        <f>+B20-F20</f>
        <v>12857745.170000002</v>
      </c>
      <c r="H20" s="263">
        <f>+B20*100/F20-100</f>
        <v>28.88639102100612</v>
      </c>
    </row>
    <row r="21" spans="1:8" ht="15">
      <c r="A21" s="178" t="s">
        <v>31</v>
      </c>
      <c r="B21" s="95">
        <v>148105872.18</v>
      </c>
      <c r="C21" s="24">
        <v>139739175.67</v>
      </c>
      <c r="D21" s="15">
        <f>+B21-C21</f>
        <v>8366696.51000002</v>
      </c>
      <c r="E21" s="263">
        <f>+B21*100/C21-100</f>
        <v>5.987366441718763</v>
      </c>
      <c r="F21" s="37">
        <v>101838760.22</v>
      </c>
      <c r="G21" s="15">
        <f>+B21-F21</f>
        <v>46267111.96000001</v>
      </c>
      <c r="H21" s="263">
        <f>+B21*100/F21-100</f>
        <v>45.431731356558345</v>
      </c>
    </row>
    <row r="22" spans="1:8" ht="15">
      <c r="A22" s="177"/>
      <c r="B22" s="96"/>
      <c r="C22" s="24"/>
      <c r="D22" s="37"/>
      <c r="E22" s="247"/>
      <c r="F22" s="37"/>
      <c r="G22" s="37"/>
      <c r="H22" s="264"/>
    </row>
    <row r="23" spans="1:8" ht="15">
      <c r="A23" s="176" t="s">
        <v>3</v>
      </c>
      <c r="B23" s="93">
        <v>10203811.43</v>
      </c>
      <c r="C23" s="15">
        <v>10381893.45</v>
      </c>
      <c r="D23" s="426">
        <f>+B23-C23</f>
        <v>-178082.01999999955</v>
      </c>
      <c r="E23" s="427">
        <f>+B23*100/C23-100</f>
        <v>-1.715313500929824</v>
      </c>
      <c r="F23" s="170">
        <v>7292349.73</v>
      </c>
      <c r="G23" s="15">
        <f>+B23-F23</f>
        <v>2911461.6999999993</v>
      </c>
      <c r="H23" s="263">
        <f>+B23*100/F23-100</f>
        <v>39.924877546979616</v>
      </c>
    </row>
    <row r="24" spans="1:8" ht="15">
      <c r="A24" s="177"/>
      <c r="B24" s="94"/>
      <c r="C24" s="24"/>
      <c r="D24" s="24"/>
      <c r="E24" s="265"/>
      <c r="F24" s="37"/>
      <c r="G24" s="24"/>
      <c r="H24" s="265"/>
    </row>
    <row r="25" spans="1:8" ht="15">
      <c r="A25" s="176" t="s">
        <v>4</v>
      </c>
      <c r="B25" s="93">
        <v>24852445.18</v>
      </c>
      <c r="C25" s="15">
        <v>24787187.28</v>
      </c>
      <c r="D25" s="15">
        <f>+B25-C25</f>
        <v>65257.89999999851</v>
      </c>
      <c r="E25" s="263">
        <f>+B25*100/C25-100</f>
        <v>0.26327271127149743</v>
      </c>
      <c r="F25" s="170">
        <v>17950183.13</v>
      </c>
      <c r="G25" s="15">
        <f>+B25-F25</f>
        <v>6902262.050000001</v>
      </c>
      <c r="H25" s="263">
        <f>+B25*100/F25-100</f>
        <v>38.45232107111099</v>
      </c>
    </row>
    <row r="26" spans="1:8" ht="15">
      <c r="A26" s="177"/>
      <c r="B26" s="94"/>
      <c r="C26" s="24"/>
      <c r="D26" s="24"/>
      <c r="E26" s="267"/>
      <c r="F26" s="37"/>
      <c r="G26" s="24"/>
      <c r="H26" s="265"/>
    </row>
    <row r="27" spans="1:8" ht="15">
      <c r="A27" s="176" t="s">
        <v>5</v>
      </c>
      <c r="B27" s="93">
        <v>23955926.28</v>
      </c>
      <c r="C27" s="15">
        <v>23345086.34</v>
      </c>
      <c r="D27" s="15">
        <f>+B27-C27</f>
        <v>610839.9400000013</v>
      </c>
      <c r="E27" s="263">
        <f>+B27*100/C27-100</f>
        <v>2.616567491349869</v>
      </c>
      <c r="F27" s="170">
        <v>18754761.88</v>
      </c>
      <c r="G27" s="15">
        <f>+B27-F27</f>
        <v>5201164.400000002</v>
      </c>
      <c r="H27" s="263">
        <f>+B27*100/F27-100</f>
        <v>27.73250032860456</v>
      </c>
    </row>
    <row r="28" spans="1:8" ht="15">
      <c r="A28" s="177"/>
      <c r="B28" s="94"/>
      <c r="C28" s="24"/>
      <c r="D28" s="24"/>
      <c r="E28" s="265"/>
      <c r="F28" s="37"/>
      <c r="G28" s="37"/>
      <c r="H28" s="264"/>
    </row>
    <row r="29" spans="1:8" ht="15">
      <c r="A29" s="176" t="s">
        <v>46</v>
      </c>
      <c r="B29" s="93">
        <v>4656736.23</v>
      </c>
      <c r="C29" s="15">
        <v>4545061.93</v>
      </c>
      <c r="D29" s="15">
        <f>+B29-C29</f>
        <v>111674.30000000075</v>
      </c>
      <c r="E29" s="263">
        <f>+B29*100/C29-100</f>
        <v>2.457046828402639</v>
      </c>
      <c r="F29" s="170">
        <v>3252772.83</v>
      </c>
      <c r="G29" s="15">
        <f>+B29-F29</f>
        <v>1403963.4000000004</v>
      </c>
      <c r="H29" s="263">
        <f>+B29*100/F29-100</f>
        <v>43.16204891566315</v>
      </c>
    </row>
    <row r="30" spans="1:8" ht="15">
      <c r="A30" s="177"/>
      <c r="B30" s="94"/>
      <c r="C30" s="24"/>
      <c r="D30" s="24"/>
      <c r="E30" s="265"/>
      <c r="F30" s="37"/>
      <c r="G30" s="24"/>
      <c r="H30" s="265"/>
    </row>
    <row r="31" spans="1:8" ht="15">
      <c r="A31" s="176" t="s">
        <v>56</v>
      </c>
      <c r="B31" s="93">
        <v>0</v>
      </c>
      <c r="C31" s="15">
        <v>0</v>
      </c>
      <c r="D31" s="15">
        <f>+B31-C31</f>
        <v>0</v>
      </c>
      <c r="E31" s="263">
        <v>0</v>
      </c>
      <c r="F31" s="170">
        <v>0</v>
      </c>
      <c r="G31" s="15">
        <f>+B31-F31</f>
        <v>0</v>
      </c>
      <c r="H31" s="263">
        <v>0</v>
      </c>
    </row>
    <row r="32" spans="1:8" ht="15">
      <c r="A32" s="172"/>
      <c r="B32" s="94"/>
      <c r="C32" s="24"/>
      <c r="D32" s="24"/>
      <c r="E32" s="248"/>
      <c r="F32" s="37"/>
      <c r="G32" s="24"/>
      <c r="H32" s="266"/>
    </row>
    <row r="33" spans="1:8" ht="15">
      <c r="A33" s="176" t="s">
        <v>47</v>
      </c>
      <c r="B33" s="93">
        <v>51395.66</v>
      </c>
      <c r="C33" s="15">
        <v>104222.2</v>
      </c>
      <c r="D33" s="426">
        <f>+B33-C33</f>
        <v>-52826.53999999999</v>
      </c>
      <c r="E33" s="427">
        <f>+B33*100/C33-100</f>
        <v>-50.686456436344656</v>
      </c>
      <c r="F33" s="170">
        <v>35134.91</v>
      </c>
      <c r="G33" s="15">
        <f>+B33-F33</f>
        <v>16260.75</v>
      </c>
      <c r="H33" s="263">
        <f>+B33*100/F33-100</f>
        <v>46.28089270756632</v>
      </c>
    </row>
    <row r="34" spans="1:8" ht="15.75" thickBot="1">
      <c r="A34" s="172"/>
      <c r="B34" s="94"/>
      <c r="C34" s="97"/>
      <c r="D34" s="97"/>
      <c r="E34" s="268"/>
      <c r="F34" s="24"/>
      <c r="G34" s="97"/>
      <c r="H34" s="249"/>
    </row>
    <row r="35" spans="1:8" ht="18" thickBot="1" thickTop="1">
      <c r="A35" s="179" t="s">
        <v>57</v>
      </c>
      <c r="B35" s="98">
        <f>SUM(B20:B34)</f>
        <v>269195360.2300001</v>
      </c>
      <c r="C35" s="99">
        <f>SUM(C20:C34)</f>
        <v>259682046.08999997</v>
      </c>
      <c r="D35" s="99">
        <f>+B35-C35</f>
        <v>9513314.140000105</v>
      </c>
      <c r="E35" s="362">
        <f>+B35*100/C35-100</f>
        <v>3.6634470049974084</v>
      </c>
      <c r="F35" s="99">
        <f>SUM(F20:F34)</f>
        <v>193635390.79999998</v>
      </c>
      <c r="G35" s="99">
        <f>+B35-F35</f>
        <v>75559969.4300001</v>
      </c>
      <c r="H35" s="271">
        <f>+B35*100/F35-100</f>
        <v>39.021776503678325</v>
      </c>
    </row>
    <row r="36" spans="1:8" ht="15.75" thickTop="1">
      <c r="A36" s="172"/>
      <c r="B36" s="100"/>
      <c r="C36" s="97"/>
      <c r="D36" s="97"/>
      <c r="E36" s="363"/>
      <c r="F36" s="97"/>
      <c r="G36" s="97"/>
      <c r="H36" s="250"/>
    </row>
    <row r="37" spans="1:8" ht="15">
      <c r="A37" s="230" t="s">
        <v>6</v>
      </c>
      <c r="B37" s="112">
        <v>35276548.21</v>
      </c>
      <c r="C37" s="15">
        <v>34405342.57</v>
      </c>
      <c r="D37" s="15">
        <f>+B37-C37</f>
        <v>871205.6400000006</v>
      </c>
      <c r="E37" s="275">
        <f>+B37*100/C37-100</f>
        <v>2.5321812687302128</v>
      </c>
      <c r="F37" s="15">
        <v>26124893.81</v>
      </c>
      <c r="G37" s="15">
        <f>+B37-F37</f>
        <v>9151654.400000002</v>
      </c>
      <c r="H37" s="275">
        <f>+B37*100/F37-100</f>
        <v>35.03039846423016</v>
      </c>
    </row>
    <row r="38" spans="1:8" ht="15" thickBot="1">
      <c r="A38" s="172"/>
      <c r="B38" s="100"/>
      <c r="C38" s="1"/>
      <c r="D38" s="97"/>
      <c r="E38" s="364"/>
      <c r="F38" s="97"/>
      <c r="G38" s="97"/>
      <c r="H38" s="39"/>
    </row>
    <row r="39" spans="1:8" ht="21.75" thickBot="1" thickTop="1">
      <c r="A39" s="179" t="s">
        <v>27</v>
      </c>
      <c r="B39" s="349">
        <f>+B35+B37</f>
        <v>304471908.44000006</v>
      </c>
      <c r="C39" s="101">
        <f>+C35+C37</f>
        <v>294087388.65999997</v>
      </c>
      <c r="D39" s="99">
        <f>+B39-C39</f>
        <v>10384519.78000009</v>
      </c>
      <c r="E39" s="365">
        <f>+B39*100/C39-100</f>
        <v>3.5310999996690953</v>
      </c>
      <c r="F39" s="99">
        <f>+F35+F37</f>
        <v>219760284.60999998</v>
      </c>
      <c r="G39" s="99">
        <f>+B39-F39</f>
        <v>84711623.83000007</v>
      </c>
      <c r="H39" s="262">
        <f>+B39*100/F39-100</f>
        <v>38.54728527510534</v>
      </c>
    </row>
    <row r="40" ht="14.25" thickTop="1">
      <c r="A40" s="172"/>
    </row>
    <row r="41" spans="1:4" ht="13.5" thickBot="1">
      <c r="A41" s="173" t="s">
        <v>37</v>
      </c>
      <c r="B41" s="231" t="s">
        <v>35</v>
      </c>
      <c r="C41" s="231" t="s">
        <v>36</v>
      </c>
      <c r="D41" s="13" t="s">
        <v>7</v>
      </c>
    </row>
    <row r="42" spans="1:4" ht="18.75" customHeight="1" thickBot="1" thickTop="1">
      <c r="A42" s="14"/>
      <c r="B42" s="317">
        <v>32515165.43</v>
      </c>
      <c r="C42" s="317">
        <v>2761382.78</v>
      </c>
      <c r="D42" s="251">
        <f>SUM(B42:C42)</f>
        <v>35276548.21</v>
      </c>
    </row>
    <row r="43" spans="1:4" ht="13.5" thickTop="1">
      <c r="A43" s="8" t="s">
        <v>42</v>
      </c>
      <c r="B43" s="20">
        <f>B42*100/D42</f>
        <v>92.17218543163126</v>
      </c>
      <c r="C43" s="20">
        <f>C42*100/D42</f>
        <v>7.827814568368734</v>
      </c>
      <c r="D43" s="20">
        <f>D42*100/D42</f>
        <v>100</v>
      </c>
    </row>
  </sheetData>
  <mergeCells count="2">
    <mergeCell ref="A10:F10"/>
    <mergeCell ref="A11:F11"/>
  </mergeCells>
  <printOptions/>
  <pageMargins left="0" right="0" top="0.3937007874015748" bottom="0" header="0" footer="0"/>
  <pageSetup horizontalDpi="600" verticalDpi="600" orientation="landscape" paperSize="9" r:id="rId2"/>
  <ignoredErrors>
    <ignoredError sqref="B43:D43 E18:E35 E37:E3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L47"/>
  <sheetViews>
    <sheetView workbookViewId="0" topLeftCell="A15">
      <selection activeCell="E37" sqref="E37"/>
    </sheetView>
  </sheetViews>
  <sheetFormatPr defaultColWidth="11.421875" defaultRowHeight="12.75"/>
  <cols>
    <col min="1" max="1" width="6.8515625" style="0" customWidth="1"/>
    <col min="2" max="2" width="10.28125" style="0" customWidth="1"/>
    <col min="5" max="5" width="14.421875" style="0" customWidth="1"/>
    <col min="7" max="7" width="11.00390625" style="0" customWidth="1"/>
    <col min="9" max="9" width="12.421875" style="0" customWidth="1"/>
  </cols>
  <sheetData>
    <row r="2" ht="13.5" customHeight="1"/>
    <row r="3" ht="12" customHeight="1"/>
    <row r="4" ht="11.25" customHeight="1"/>
    <row r="5" ht="12.75" customHeight="1"/>
    <row r="6" ht="12" customHeight="1">
      <c r="E6" s="2"/>
    </row>
    <row r="7" ht="12" customHeight="1">
      <c r="E7" s="2"/>
    </row>
    <row r="8" spans="3:10" ht="15">
      <c r="C8" s="389" t="s">
        <v>114</v>
      </c>
      <c r="D8" s="389"/>
      <c r="E8" s="389"/>
      <c r="F8" s="389"/>
      <c r="G8" s="389"/>
      <c r="H8" s="389"/>
      <c r="I8" s="389"/>
      <c r="J8" s="389"/>
    </row>
    <row r="9" ht="9.75" customHeight="1"/>
    <row r="10" spans="3:10" ht="13.5" customHeight="1">
      <c r="C10" s="393" t="s">
        <v>40</v>
      </c>
      <c r="D10" s="393"/>
      <c r="E10" s="393"/>
      <c r="F10" s="393"/>
      <c r="G10" s="393"/>
      <c r="H10" s="393"/>
      <c r="I10" s="393"/>
      <c r="J10" s="393"/>
    </row>
    <row r="11" ht="12" customHeight="1"/>
    <row r="12" ht="12" customHeight="1" thickBot="1"/>
    <row r="13" spans="4:10" ht="14.25" thickBot="1" thickTop="1">
      <c r="D13" s="344" t="s">
        <v>87</v>
      </c>
      <c r="E13" s="343" t="s">
        <v>21</v>
      </c>
      <c r="F13" s="16"/>
      <c r="H13" s="391" t="s">
        <v>29</v>
      </c>
      <c r="I13" s="392"/>
      <c r="J13" s="8" t="s">
        <v>20</v>
      </c>
    </row>
    <row r="14" spans="4:10" ht="13.5" customHeight="1" thickTop="1">
      <c r="D14" s="215">
        <v>1993</v>
      </c>
      <c r="E14" s="103">
        <v>5770978.05</v>
      </c>
      <c r="F14" s="4"/>
      <c r="H14" s="183" t="s">
        <v>115</v>
      </c>
      <c r="I14" s="184"/>
      <c r="J14" s="258">
        <f>E$37*100/E14-100</f>
        <v>5175.9152053957305</v>
      </c>
    </row>
    <row r="15" spans="4:10" ht="13.5" customHeight="1">
      <c r="D15" s="215">
        <v>1994</v>
      </c>
      <c r="E15" s="104">
        <v>4911456.03</v>
      </c>
      <c r="F15" s="16"/>
      <c r="H15" s="183" t="s">
        <v>116</v>
      </c>
      <c r="I15" s="184"/>
      <c r="J15" s="259">
        <f>E$37*100/E15-100</f>
        <v>6099.218858526562</v>
      </c>
    </row>
    <row r="16" spans="4:10" ht="13.5" customHeight="1">
      <c r="D16" s="216">
        <v>1995</v>
      </c>
      <c r="E16" s="104">
        <v>6770732.27</v>
      </c>
      <c r="H16" s="183" t="s">
        <v>117</v>
      </c>
      <c r="I16" s="184"/>
      <c r="J16" s="259">
        <f aca="true" t="shared" si="0" ref="J16:J36">E$37*100/E16-100</f>
        <v>4396.883000219414</v>
      </c>
    </row>
    <row r="17" spans="4:10" ht="13.5" customHeight="1">
      <c r="D17" s="216">
        <v>1996</v>
      </c>
      <c r="E17" s="104">
        <v>6260589.9</v>
      </c>
      <c r="H17" s="183" t="s">
        <v>118</v>
      </c>
      <c r="I17" s="184"/>
      <c r="J17" s="259">
        <f t="shared" si="0"/>
        <v>4763.3102200161675</v>
      </c>
    </row>
    <row r="18" spans="4:10" ht="13.5" customHeight="1">
      <c r="D18" s="216">
        <v>1997</v>
      </c>
      <c r="E18" s="104">
        <v>9263232.47</v>
      </c>
      <c r="H18" s="183" t="s">
        <v>119</v>
      </c>
      <c r="I18" s="184"/>
      <c r="J18" s="259">
        <f t="shared" si="0"/>
        <v>3186.8861860702063</v>
      </c>
    </row>
    <row r="19" spans="4:10" ht="13.5" customHeight="1">
      <c r="D19" s="216">
        <v>1998</v>
      </c>
      <c r="E19" s="104">
        <v>7845939.9</v>
      </c>
      <c r="H19" s="183" t="s">
        <v>120</v>
      </c>
      <c r="I19" s="184"/>
      <c r="J19" s="259">
        <f t="shared" si="0"/>
        <v>3780.6301389078953</v>
      </c>
    </row>
    <row r="20" spans="4:10" ht="13.5" customHeight="1">
      <c r="D20" s="216">
        <v>1999</v>
      </c>
      <c r="E20" s="104">
        <v>7494599.67</v>
      </c>
      <c r="H20" s="183" t="s">
        <v>121</v>
      </c>
      <c r="I20" s="184"/>
      <c r="J20" s="259">
        <f t="shared" si="0"/>
        <v>3962.550661094884</v>
      </c>
    </row>
    <row r="21" spans="4:10" ht="13.5" customHeight="1">
      <c r="D21" s="216">
        <v>2000</v>
      </c>
      <c r="E21" s="104">
        <v>8683408.19</v>
      </c>
      <c r="H21" s="183" t="s">
        <v>122</v>
      </c>
      <c r="I21" s="184"/>
      <c r="J21" s="259">
        <f t="shared" si="0"/>
        <v>3406.36411162424</v>
      </c>
    </row>
    <row r="22" spans="3:10" ht="13.5" customHeight="1">
      <c r="C22" s="5"/>
      <c r="D22" s="216">
        <v>2001</v>
      </c>
      <c r="E22" s="104">
        <v>4055297.81</v>
      </c>
      <c r="F22" s="6"/>
      <c r="G22" s="6"/>
      <c r="H22" s="183" t="s">
        <v>123</v>
      </c>
      <c r="I22" s="184"/>
      <c r="J22" s="259">
        <f t="shared" si="0"/>
        <v>7408.003670882065</v>
      </c>
    </row>
    <row r="23" spans="4:10" ht="13.5" customHeight="1">
      <c r="D23" s="216">
        <v>2002</v>
      </c>
      <c r="E23" s="104">
        <v>6790568.97</v>
      </c>
      <c r="H23" s="183" t="s">
        <v>124</v>
      </c>
      <c r="I23" s="184"/>
      <c r="J23" s="259">
        <f t="shared" si="0"/>
        <v>4383.7466460487185</v>
      </c>
    </row>
    <row r="24" spans="4:10" ht="13.5" customHeight="1">
      <c r="D24" s="216">
        <v>2003</v>
      </c>
      <c r="E24" s="104">
        <v>8718941.35</v>
      </c>
      <c r="H24" s="183" t="s">
        <v>125</v>
      </c>
      <c r="I24" s="184"/>
      <c r="J24" s="259">
        <f t="shared" si="0"/>
        <v>3392.0742807841</v>
      </c>
    </row>
    <row r="25" spans="4:10" ht="13.5" customHeight="1">
      <c r="D25" s="216">
        <v>2004</v>
      </c>
      <c r="E25" s="104">
        <v>13703705.86</v>
      </c>
      <c r="H25" s="183" t="s">
        <v>126</v>
      </c>
      <c r="I25" s="184"/>
      <c r="J25" s="259">
        <f t="shared" si="0"/>
        <v>2121.821684955518</v>
      </c>
    </row>
    <row r="26" spans="3:12" ht="13.5" customHeight="1">
      <c r="C26" s="10"/>
      <c r="D26" s="216">
        <v>2005</v>
      </c>
      <c r="E26" s="104">
        <v>16248475.26</v>
      </c>
      <c r="F26" s="1"/>
      <c r="H26" s="183" t="s">
        <v>127</v>
      </c>
      <c r="I26" s="184"/>
      <c r="J26" s="259">
        <f t="shared" si="0"/>
        <v>1773.849106257617</v>
      </c>
      <c r="L26" s="10"/>
    </row>
    <row r="27" spans="4:10" ht="13.5" customHeight="1">
      <c r="D27" s="217">
        <v>2006</v>
      </c>
      <c r="E27" s="107">
        <v>20295020.33</v>
      </c>
      <c r="F27" s="1"/>
      <c r="H27" s="183" t="s">
        <v>128</v>
      </c>
      <c r="I27" s="184"/>
      <c r="J27" s="259">
        <f t="shared" si="0"/>
        <v>1400.2296301715508</v>
      </c>
    </row>
    <row r="28" spans="4:10" ht="13.5" customHeight="1">
      <c r="D28" s="161">
        <v>2007</v>
      </c>
      <c r="E28" s="107">
        <v>26926062.62</v>
      </c>
      <c r="H28" s="183" t="s">
        <v>129</v>
      </c>
      <c r="I28" s="184"/>
      <c r="J28" s="259">
        <f t="shared" si="0"/>
        <v>1030.7702605350325</v>
      </c>
    </row>
    <row r="29" spans="4:10" ht="13.5" customHeight="1">
      <c r="D29" s="161">
        <v>2008</v>
      </c>
      <c r="E29" s="107">
        <v>36510582.65</v>
      </c>
      <c r="H29" s="183" t="s">
        <v>130</v>
      </c>
      <c r="I29" s="184"/>
      <c r="J29" s="259">
        <f t="shared" si="0"/>
        <v>733.9278267858593</v>
      </c>
    </row>
    <row r="30" spans="4:10" ht="13.5" customHeight="1">
      <c r="D30" s="161">
        <v>2009</v>
      </c>
      <c r="E30" s="107">
        <v>39385548.13</v>
      </c>
      <c r="H30" s="183" t="s">
        <v>131</v>
      </c>
      <c r="I30" s="184"/>
      <c r="J30" s="259">
        <f t="shared" si="0"/>
        <v>673.0548967733764</v>
      </c>
    </row>
    <row r="31" spans="4:10" ht="13.5" customHeight="1">
      <c r="D31" s="161">
        <v>2010</v>
      </c>
      <c r="E31" s="107">
        <v>59844625.61</v>
      </c>
      <c r="H31" s="183" t="s">
        <v>132</v>
      </c>
      <c r="I31" s="184"/>
      <c r="J31" s="259">
        <f t="shared" si="0"/>
        <v>408.77067963329847</v>
      </c>
    </row>
    <row r="32" spans="4:10" ht="13.5" customHeight="1">
      <c r="D32" s="162">
        <v>2011</v>
      </c>
      <c r="E32" s="107">
        <v>79410535.76</v>
      </c>
      <c r="H32" s="183" t="s">
        <v>133</v>
      </c>
      <c r="I32" s="184"/>
      <c r="J32" s="259">
        <f t="shared" si="0"/>
        <v>283.4150034703153</v>
      </c>
    </row>
    <row r="33" spans="4:10" ht="13.5" customHeight="1">
      <c r="D33" s="162">
        <v>2012</v>
      </c>
      <c r="E33" s="107">
        <v>104811403.8</v>
      </c>
      <c r="H33" s="183" t="s">
        <v>134</v>
      </c>
      <c r="I33" s="184"/>
      <c r="J33" s="259">
        <f t="shared" si="0"/>
        <v>190.49502000850026</v>
      </c>
    </row>
    <row r="34" spans="4:10" ht="14.25" customHeight="1">
      <c r="D34" s="162">
        <v>2013</v>
      </c>
      <c r="E34" s="107">
        <v>136102559.74</v>
      </c>
      <c r="H34" s="183" t="s">
        <v>135</v>
      </c>
      <c r="I34" s="184"/>
      <c r="J34" s="259">
        <f t="shared" si="0"/>
        <v>123.70770176669711</v>
      </c>
    </row>
    <row r="35" spans="4:10" ht="13.5" customHeight="1">
      <c r="D35" s="162">
        <v>2014</v>
      </c>
      <c r="E35" s="107">
        <v>181247757.63</v>
      </c>
      <c r="H35" s="183" t="s">
        <v>136</v>
      </c>
      <c r="I35" s="184"/>
      <c r="J35" s="259">
        <f t="shared" si="0"/>
        <v>67.98657948726205</v>
      </c>
    </row>
    <row r="36" spans="4:10" ht="15.75" customHeight="1" thickBot="1">
      <c r="D36" s="163">
        <v>2015</v>
      </c>
      <c r="E36" s="287">
        <v>219760284.61</v>
      </c>
      <c r="H36" s="183" t="s">
        <v>137</v>
      </c>
      <c r="I36" s="184"/>
      <c r="J36" s="278">
        <f t="shared" si="0"/>
        <v>38.54728527510528</v>
      </c>
    </row>
    <row r="37" spans="4:10" ht="14.25" thickBot="1" thickTop="1">
      <c r="D37" s="346">
        <v>2016</v>
      </c>
      <c r="E37" s="108">
        <v>304471908.44</v>
      </c>
      <c r="H37" s="218" t="s">
        <v>138</v>
      </c>
      <c r="I37" s="219"/>
      <c r="J37" s="345" t="s">
        <v>30</v>
      </c>
    </row>
    <row r="47" spans="3:12" ht="12.75">
      <c r="C47" s="10"/>
      <c r="L47" s="10"/>
    </row>
  </sheetData>
  <mergeCells count="3">
    <mergeCell ref="H13:I13"/>
    <mergeCell ref="C8:J8"/>
    <mergeCell ref="C10:J10"/>
  </mergeCells>
  <printOptions/>
  <pageMargins left="0.3937007874015748" right="0" top="0.3937007874015748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28">
      <selection activeCell="D36" sqref="D36"/>
    </sheetView>
  </sheetViews>
  <sheetFormatPr defaultColWidth="11.421875" defaultRowHeight="12.75"/>
  <cols>
    <col min="1" max="1" width="5.7109375" style="0" customWidth="1"/>
    <col min="2" max="2" width="10.28125" style="0" customWidth="1"/>
    <col min="3" max="3" width="13.57421875" style="0" customWidth="1"/>
    <col min="4" max="4" width="15.28125" style="0" customWidth="1"/>
    <col min="5" max="5" width="13.421875" style="0" customWidth="1"/>
    <col min="8" max="8" width="19.00390625" style="0" customWidth="1"/>
    <col min="9" max="9" width="10.57421875" style="0" customWidth="1"/>
    <col min="10" max="10" width="12.140625" style="0" customWidth="1"/>
  </cols>
  <sheetData>
    <row r="2" ht="15.75" customHeight="1"/>
    <row r="3" ht="12" customHeight="1">
      <c r="E3" s="2"/>
    </row>
    <row r="4" ht="12" customHeight="1">
      <c r="E4" s="2"/>
    </row>
    <row r="5" ht="12" customHeight="1">
      <c r="E5" s="2"/>
    </row>
    <row r="6" ht="12" customHeight="1"/>
    <row r="7" ht="12" customHeight="1"/>
    <row r="8" spans="4:9" ht="15">
      <c r="D8" s="396" t="s">
        <v>139</v>
      </c>
      <c r="E8" s="396"/>
      <c r="F8" s="396"/>
      <c r="G8" s="396"/>
      <c r="H8" s="396"/>
      <c r="I8" s="396"/>
    </row>
    <row r="9" ht="12" customHeight="1"/>
    <row r="10" spans="4:9" ht="12" customHeight="1">
      <c r="D10" s="397" t="s">
        <v>43</v>
      </c>
      <c r="E10" s="397"/>
      <c r="F10" s="397"/>
      <c r="G10" s="397"/>
      <c r="H10" s="397"/>
      <c r="I10" s="397"/>
    </row>
    <row r="11" spans="4:6" ht="12" customHeight="1" thickBot="1">
      <c r="D11" s="4"/>
      <c r="E11" s="4"/>
      <c r="F11" s="4"/>
    </row>
    <row r="12" spans="3:9" ht="14.25" thickBot="1" thickTop="1">
      <c r="C12" s="344" t="s">
        <v>140</v>
      </c>
      <c r="D12" s="343" t="s">
        <v>33</v>
      </c>
      <c r="E12" s="4"/>
      <c r="F12" s="4"/>
      <c r="G12" s="394" t="s">
        <v>29</v>
      </c>
      <c r="H12" s="395"/>
      <c r="I12" s="8" t="s">
        <v>20</v>
      </c>
    </row>
    <row r="13" spans="3:9" ht="13.5" customHeight="1" thickTop="1">
      <c r="C13" s="220">
        <v>1993</v>
      </c>
      <c r="D13" s="103">
        <f>5192782.99+5244724.04+5280289.57+5561656.97+6625959.6+5794632.28+5776917.54+6128932.85+6506125.25+7265877.48+6430930.64+5770978.05</f>
        <v>71579807.26</v>
      </c>
      <c r="G13" s="183" t="s">
        <v>141</v>
      </c>
      <c r="H13" s="184"/>
      <c r="I13" s="260">
        <f>D$36*100/D13-100</f>
        <v>4544.825499254914</v>
      </c>
    </row>
    <row r="14" spans="3:9" ht="13.5" customHeight="1">
      <c r="C14" s="220">
        <v>1994</v>
      </c>
      <c r="D14" s="103">
        <f>6391988.41+5934209.14+4850056.58+6198639.59+7020809.77+5674785.22+5449393.97+5736945.8+6115217.97+5440308.13+5291844.21+4911456.03</f>
        <v>69015654.82</v>
      </c>
      <c r="E14" s="4"/>
      <c r="G14" s="183" t="s">
        <v>142</v>
      </c>
      <c r="H14" s="184"/>
      <c r="I14" s="261">
        <f>D$36*100/D14-100</f>
        <v>4717.395630891734</v>
      </c>
    </row>
    <row r="15" spans="3:9" ht="13.5" customHeight="1">
      <c r="C15" s="221">
        <v>1995</v>
      </c>
      <c r="D15" s="103">
        <f>4259432.51+4295173.83+4354952.48+4053628.77+4897275.85+3807075.04+3864770.06+3291227.21+4574783.61+4534583.58+5023442.73+6770732.27</f>
        <v>53727077.94</v>
      </c>
      <c r="G15" s="183" t="s">
        <v>143</v>
      </c>
      <c r="H15" s="184"/>
      <c r="I15" s="261">
        <f aca="true" t="shared" si="0" ref="I15:I35">D$36*100/D15-100</f>
        <v>6088.233694084276</v>
      </c>
    </row>
    <row r="16" spans="3:9" ht="13.5" customHeight="1">
      <c r="C16" s="221">
        <v>1996</v>
      </c>
      <c r="D16" s="104">
        <f>7578344.49+5871894.75+7640633.14+10386759.33+5959570.09+6183726.26+5339910.28+5206070.84+5550418.19+6127739.27+6275144.88+6260589.9</f>
        <v>78380801.41999999</v>
      </c>
      <c r="G16" s="183" t="s">
        <v>144</v>
      </c>
      <c r="H16" s="184"/>
      <c r="I16" s="261">
        <f t="shared" si="0"/>
        <v>4141.8003895041065</v>
      </c>
    </row>
    <row r="17" spans="3:9" ht="13.5" customHeight="1">
      <c r="C17" s="221">
        <v>1997</v>
      </c>
      <c r="D17" s="104">
        <f>7749318.29+6451422.01+6409899.94+6722213.78+7107422.74+7431911.13+6884393.97+8451257.65+8533898.42+8605065.64+9029227.79+9263232.47</f>
        <v>92639263.83000001</v>
      </c>
      <c r="E17" s="109"/>
      <c r="G17" s="183" t="s">
        <v>145</v>
      </c>
      <c r="H17" s="184"/>
      <c r="I17" s="261">
        <f t="shared" si="0"/>
        <v>3488.9287138887225</v>
      </c>
    </row>
    <row r="18" spans="3:9" ht="13.5" customHeight="1">
      <c r="C18" s="221">
        <v>1998</v>
      </c>
      <c r="D18" s="104">
        <f>7663047.88+7554889.93+7002162.93+9652844.05+8169274.8+7735126.35+7715241.89+7944791.07+7685717.45+8089417.44+7778488.1+7845939.9</f>
        <v>94836941.78999999</v>
      </c>
      <c r="G18" s="183" t="s">
        <v>146</v>
      </c>
      <c r="H18" s="184"/>
      <c r="I18" s="261">
        <f t="shared" si="0"/>
        <v>3405.761654875059</v>
      </c>
    </row>
    <row r="19" spans="3:9" ht="13.5" customHeight="1">
      <c r="C19" s="221">
        <v>1999</v>
      </c>
      <c r="D19" s="104">
        <f>8217141.36+8335119.34+8011396.59+7028018.72+7180080.07+6705369.05+6729490.81+7664074.69+9548407.41+8322804.23+7935078.29+7494599.67</f>
        <v>93171580.23</v>
      </c>
      <c r="G19" s="183" t="s">
        <v>147</v>
      </c>
      <c r="H19" s="184"/>
      <c r="I19" s="261">
        <f t="shared" si="0"/>
        <v>3468.424117872236</v>
      </c>
    </row>
    <row r="20" spans="3:9" ht="13.5" customHeight="1">
      <c r="C20" s="221">
        <v>2000</v>
      </c>
      <c r="D20" s="104">
        <f>7018708.62+8484261.59+8983140.9+6852789.21+6518520.63+7032572.6+7485113.24+7161222.48+6259123.78+7479750.29+7865169.1+8683408.19</f>
        <v>89823780.63000001</v>
      </c>
      <c r="G20" s="183" t="s">
        <v>148</v>
      </c>
      <c r="H20" s="184"/>
      <c r="I20" s="261">
        <f t="shared" si="0"/>
        <v>3601.421958206436</v>
      </c>
    </row>
    <row r="21" spans="3:9" ht="13.5" customHeight="1">
      <c r="C21" s="221">
        <v>2001</v>
      </c>
      <c r="D21" s="104">
        <f>8207983.93+9802928.93+10626736.46+8311650.33+7625623.47+6973646.45+7946501.74+6387956.95+6020590.48+5405968.89+5127177.83+4055297.81</f>
        <v>86492063.27000001</v>
      </c>
      <c r="E21" s="6"/>
      <c r="F21" s="6"/>
      <c r="G21" s="183" t="s">
        <v>149</v>
      </c>
      <c r="H21" s="184"/>
      <c r="I21" s="261">
        <f t="shared" si="0"/>
        <v>3744.0025757637354</v>
      </c>
    </row>
    <row r="22" spans="3:9" ht="13.5" customHeight="1">
      <c r="C22" s="221">
        <v>2002</v>
      </c>
      <c r="D22" s="104">
        <f>4614047.84+5812868.36+5041491.8+3901118.08+6130848.6+5531169.3+5999992.9+4987979.17+4304383.62+7606342.41+6585002.67+6790568.97</f>
        <v>67305813.72</v>
      </c>
      <c r="G22" s="183" t="s">
        <v>150</v>
      </c>
      <c r="H22" s="184"/>
      <c r="I22" s="261">
        <f t="shared" si="0"/>
        <v>4839.777050703786</v>
      </c>
    </row>
    <row r="23" spans="3:9" ht="13.5" customHeight="1">
      <c r="C23" s="221">
        <v>2003</v>
      </c>
      <c r="D23" s="105">
        <f>8138804.88+10619198.48+11099641+8739713.24+7405357.32+7522810.41+8508577.2+8149582.99+8270853.67+7866449.97+8284971.84+8718941.35</f>
        <v>103324902.35</v>
      </c>
      <c r="G23" s="183" t="s">
        <v>151</v>
      </c>
      <c r="H23" s="184"/>
      <c r="I23" s="261">
        <f t="shared" si="0"/>
        <v>3117.7694479379297</v>
      </c>
    </row>
    <row r="24" spans="3:9" ht="13.5" customHeight="1">
      <c r="C24" s="221">
        <v>2004</v>
      </c>
      <c r="D24" s="105">
        <f>8397793.96+10578909.79+12304279.67+12815647.99+11675174.48+10205260.47+11598130.23+11044784.68+11476645.51+11209590.67+12330238.4+13703705.86</f>
        <v>137340161.71000004</v>
      </c>
      <c r="E24" s="1"/>
      <c r="G24" s="183" t="s">
        <v>152</v>
      </c>
      <c r="H24" s="184"/>
      <c r="I24" s="261">
        <f t="shared" si="0"/>
        <v>2320.819298982897</v>
      </c>
    </row>
    <row r="25" spans="3:9" ht="13.5" customHeight="1">
      <c r="C25" s="221">
        <v>2005</v>
      </c>
      <c r="D25" s="105">
        <f>11349701.41+15528304.48+14745838.41+14473929.97+19633797.27+13718919.79+14893024.06+15539304.01+15050808.75+14647291.34+15461250.75+16248475.26</f>
        <v>181290645.49999997</v>
      </c>
      <c r="G25" s="183" t="s">
        <v>153</v>
      </c>
      <c r="H25" s="184"/>
      <c r="I25" s="261">
        <f t="shared" si="0"/>
        <v>1733.937504475376</v>
      </c>
    </row>
    <row r="26" spans="3:9" ht="13.5" customHeight="1">
      <c r="C26" s="222">
        <v>2006</v>
      </c>
      <c r="D26" s="106">
        <f>16525382.86+19837070.81+20844125.78+17361855.57+17855953.22+17666345.39+20061932.82+20017060.37+19902176.57+19543524.11+20023033.33+20295020.33</f>
        <v>229933481.15999997</v>
      </c>
      <c r="G26" s="183" t="s">
        <v>154</v>
      </c>
      <c r="H26" s="184"/>
      <c r="I26" s="261">
        <f t="shared" si="0"/>
        <v>1345.964773445263</v>
      </c>
    </row>
    <row r="27" spans="3:9" ht="13.5" customHeight="1">
      <c r="C27" s="223">
        <v>2007</v>
      </c>
      <c r="D27" s="107">
        <f>23123779.95+20395563.61+29524329.91+27167317.34+23980300.65+24820055.8+24750514.47+26572716.96+25074284.91+26436954.57+28319011.96+26926062.62</f>
        <v>307090892.75</v>
      </c>
      <c r="G27" s="183" t="s">
        <v>155</v>
      </c>
      <c r="H27" s="184"/>
      <c r="I27" s="261">
        <f t="shared" si="0"/>
        <v>982.6622405362752</v>
      </c>
    </row>
    <row r="28" spans="3:9" ht="13.5" customHeight="1">
      <c r="C28" s="223">
        <v>2008</v>
      </c>
      <c r="D28" s="107">
        <f>32046396.41+28770836.12+34988334.15+37095733.13+32058798.73+29816048.88+31056897.06+33059176.59+33262564.95+32342341.8+33195666.55+36510582.65</f>
        <v>394203377.02</v>
      </c>
      <c r="G28" s="183" t="s">
        <v>156</v>
      </c>
      <c r="H28" s="184"/>
      <c r="I28" s="261">
        <f t="shared" si="0"/>
        <v>743.4116331178253</v>
      </c>
    </row>
    <row r="29" spans="3:9" ht="13.5" customHeight="1">
      <c r="C29" s="223">
        <v>2009</v>
      </c>
      <c r="D29" s="106">
        <f>34704890.88+31507623.68+43887419.13+41404621.81+34806892.14+36255366.53+36499215.38+38043290.23+37912102.89+36550575.55+37792448.69+39385548.13</f>
        <v>448749995.03999996</v>
      </c>
      <c r="G29" s="183" t="s">
        <v>157</v>
      </c>
      <c r="H29" s="184"/>
      <c r="I29" s="261">
        <f t="shared" si="0"/>
        <v>640.8929641622933</v>
      </c>
    </row>
    <row r="30" spans="3:9" ht="13.5" customHeight="1">
      <c r="C30" s="223">
        <v>2010</v>
      </c>
      <c r="D30" s="106">
        <f>40717231.17+37559883.57+57361546.15+55147226.8+44515418.79+47302148.8+51166462.03+52909217.41+57040550.11+54965029.36+57815260.69+59844625.61</f>
        <v>616344600.4899999</v>
      </c>
      <c r="E30" s="1"/>
      <c r="G30" s="183" t="s">
        <v>158</v>
      </c>
      <c r="H30" s="184"/>
      <c r="I30" s="261">
        <f t="shared" si="0"/>
        <v>439.43153510013485</v>
      </c>
    </row>
    <row r="31" spans="3:9" ht="13.5" customHeight="1">
      <c r="C31" s="224">
        <v>2011</v>
      </c>
      <c r="D31" s="106">
        <f>63913159.82+61051553.8+79411560.43+74239886.89+71628798.51+69067550.96+71250570.65+77589890.87+77238584.36+78023859.19+78098434.13+79410535.76</f>
        <v>880924385.37</v>
      </c>
      <c r="E31" s="1"/>
      <c r="G31" s="183" t="s">
        <v>159</v>
      </c>
      <c r="H31" s="184"/>
      <c r="I31" s="261">
        <f t="shared" si="0"/>
        <v>277.41685837582503</v>
      </c>
    </row>
    <row r="32" spans="3:9" ht="13.5" customHeight="1">
      <c r="C32" s="224">
        <v>2012</v>
      </c>
      <c r="D32" s="107">
        <f>93053218+83615681.78+107558801.52+84357533.13+92345216.58+89985825.02+99408193.7+103435403.23+96985719.5+100148067.82+110286391.72+104811403.8</f>
        <v>1165991455.8</v>
      </c>
      <c r="G32" s="183" t="s">
        <v>160</v>
      </c>
      <c r="H32" s="184"/>
      <c r="I32" s="261">
        <f t="shared" si="0"/>
        <v>185.14421125400497</v>
      </c>
    </row>
    <row r="33" spans="3:9" ht="13.5" customHeight="1">
      <c r="C33" s="224">
        <v>2013</v>
      </c>
      <c r="D33" s="107">
        <f>135045479.19+123747100.92+148626673.42+128291640.74+130334323.64+134632252.9+140183870.74+163409068.56+138404191.8+133917047.47+136031477.38+136102559.74</f>
        <v>1648725686.4999998</v>
      </c>
      <c r="G33" s="183" t="s">
        <v>161</v>
      </c>
      <c r="H33" s="184"/>
      <c r="I33" s="261">
        <f t="shared" si="0"/>
        <v>101.65617404724048</v>
      </c>
    </row>
    <row r="34" spans="3:9" ht="13.5" customHeight="1">
      <c r="C34" s="224">
        <v>2014</v>
      </c>
      <c r="D34" s="106">
        <f>173682104.19+170691871.24+175434104.43+149076186.08+155378235.94+155564931.05+167455870.08+186573977.13+171676418.88+178411000.19+183802698.44+181247757.63</f>
        <v>2048995155.2800002</v>
      </c>
      <c r="E34" s="81"/>
      <c r="G34" s="183" t="s">
        <v>162</v>
      </c>
      <c r="H34" s="184"/>
      <c r="I34" s="261">
        <f t="shared" si="0"/>
        <v>62.2628111814966</v>
      </c>
    </row>
    <row r="35" spans="3:9" ht="15" customHeight="1" thickBot="1">
      <c r="C35" s="225">
        <v>2015</v>
      </c>
      <c r="D35" s="287">
        <f>205440886.08+215298311.63+253722016.01+209244928.51+212803545.2+207394303.24+220610391.59+214534199.12+214924343.78+212522494.07+219945235.21+219760284.61</f>
        <v>2606200939.05</v>
      </c>
      <c r="G35" s="183" t="s">
        <v>163</v>
      </c>
      <c r="H35" s="184"/>
      <c r="I35" s="278">
        <f t="shared" si="0"/>
        <v>27.57102071883699</v>
      </c>
    </row>
    <row r="36" spans="3:9" ht="12.75" customHeight="1" thickBot="1" thickTop="1">
      <c r="C36" s="346">
        <v>2016</v>
      </c>
      <c r="D36" s="108">
        <f>234991355.67+271235321.48+311997247.71+258649173.44+252446062.86+244867727.49+280794807.1+304751596.35+287396434.56+279068116.17+294087388.66+304471908.44</f>
        <v>3324757139.93</v>
      </c>
      <c r="G36" s="226" t="s">
        <v>164</v>
      </c>
      <c r="H36" s="347"/>
      <c r="I36" s="345" t="s">
        <v>30</v>
      </c>
    </row>
    <row r="47" ht="13.5" customHeight="1"/>
    <row r="51" ht="12.75">
      <c r="B51" t="s">
        <v>55</v>
      </c>
    </row>
  </sheetData>
  <mergeCells count="3">
    <mergeCell ref="G12:H12"/>
    <mergeCell ref="D8:I8"/>
    <mergeCell ref="D10:I10"/>
  </mergeCells>
  <printOptions/>
  <pageMargins left="0.984251968503937" right="0" top="0.3937007874015748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E89"/>
  <sheetViews>
    <sheetView workbookViewId="0" topLeftCell="K28">
      <selection activeCell="K43" sqref="K43"/>
    </sheetView>
  </sheetViews>
  <sheetFormatPr defaultColWidth="11.421875" defaultRowHeight="12.75"/>
  <cols>
    <col min="2" max="2" width="10.00390625" style="0" customWidth="1"/>
    <col min="3" max="5" width="15.7109375" style="0" customWidth="1"/>
    <col min="6" max="6" width="14.00390625" style="0" customWidth="1"/>
    <col min="7" max="7" width="13.8515625" style="0" customWidth="1"/>
    <col min="8" max="8" width="10.00390625" style="0" customWidth="1"/>
    <col min="9" max="9" width="15.28125" style="0" customWidth="1"/>
    <col min="10" max="10" width="16.421875" style="0" customWidth="1"/>
    <col min="11" max="11" width="16.140625" style="0" customWidth="1"/>
    <col min="12" max="12" width="15.7109375" style="0" customWidth="1"/>
    <col min="13" max="13" width="13.7109375" style="0" customWidth="1"/>
    <col min="14" max="14" width="10.00390625" style="0" customWidth="1"/>
    <col min="15" max="15" width="13.421875" style="0" customWidth="1"/>
    <col min="16" max="16" width="5.7109375" style="0" customWidth="1"/>
    <col min="17" max="17" width="13.421875" style="0" customWidth="1"/>
    <col min="18" max="18" width="5.7109375" style="0" customWidth="1"/>
    <col min="19" max="19" width="13.28125" style="0" customWidth="1"/>
    <col min="20" max="20" width="3.421875" style="0" customWidth="1"/>
    <col min="21" max="21" width="10.00390625" style="0" customWidth="1"/>
    <col min="22" max="22" width="13.421875" style="0" customWidth="1"/>
    <col min="23" max="23" width="4.7109375" style="0" customWidth="1"/>
    <col min="24" max="24" width="13.421875" style="0" customWidth="1"/>
    <col min="25" max="25" width="4.7109375" style="0" customWidth="1"/>
    <col min="26" max="26" width="13.28125" style="0" customWidth="1"/>
    <col min="27" max="27" width="3.28125" style="0" customWidth="1"/>
    <col min="28" max="28" width="13.140625" style="0" customWidth="1"/>
    <col min="29" max="29" width="6.7109375" style="0" customWidth="1"/>
    <col min="30" max="30" width="13.140625" style="0" customWidth="1"/>
    <col min="31" max="31" width="6.7109375" style="0" customWidth="1"/>
  </cols>
  <sheetData>
    <row r="3" spans="5:9" ht="12.75">
      <c r="E3" s="1"/>
      <c r="I3" s="1"/>
    </row>
    <row r="4" spans="5:9" ht="12.75">
      <c r="E4" s="1"/>
      <c r="I4" s="1"/>
    </row>
    <row r="5" spans="5:9" ht="12.75">
      <c r="E5" s="1"/>
      <c r="F5" s="1"/>
      <c r="G5" s="1"/>
      <c r="H5" s="1"/>
      <c r="I5" s="1"/>
    </row>
    <row r="6" spans="3:9" ht="13.5" thickBot="1">
      <c r="C6" s="1"/>
      <c r="D6" s="1"/>
      <c r="E6" s="1"/>
      <c r="F6" s="1"/>
      <c r="G6" s="1"/>
      <c r="H6" s="1"/>
      <c r="I6" s="1"/>
    </row>
    <row r="7" spans="2:10" ht="21" thickBot="1">
      <c r="B7" s="2"/>
      <c r="C7" s="1"/>
      <c r="D7" s="1"/>
      <c r="E7" s="407" t="s">
        <v>100</v>
      </c>
      <c r="F7" s="408"/>
      <c r="G7" s="408"/>
      <c r="H7" s="408"/>
      <c r="I7" s="408"/>
      <c r="J7" s="409"/>
    </row>
    <row r="8" spans="2:9" ht="13.5" thickBot="1">
      <c r="B8" s="288" t="s">
        <v>0</v>
      </c>
      <c r="C8" s="289"/>
      <c r="D8" s="289"/>
      <c r="E8" s="290"/>
      <c r="H8" s="1"/>
      <c r="I8" s="1"/>
    </row>
    <row r="9" spans="2:22" ht="18" thickBot="1">
      <c r="B9" s="305"/>
      <c r="C9" s="1"/>
      <c r="D9" s="1"/>
      <c r="H9" s="1"/>
      <c r="I9" s="1"/>
      <c r="O9" s="411" t="s">
        <v>69</v>
      </c>
      <c r="P9" s="411"/>
      <c r="Q9" s="411"/>
      <c r="R9" s="411"/>
      <c r="S9" s="411"/>
      <c r="T9" s="411"/>
      <c r="U9" s="411"/>
      <c r="V9" s="411"/>
    </row>
    <row r="10" spans="2:12" ht="13.5" thickTop="1">
      <c r="B10" s="306">
        <v>2016</v>
      </c>
      <c r="C10" s="40" t="s">
        <v>58</v>
      </c>
      <c r="D10" s="41" t="s">
        <v>3</v>
      </c>
      <c r="E10" s="41" t="s">
        <v>4</v>
      </c>
      <c r="F10" s="41" t="s">
        <v>5</v>
      </c>
      <c r="G10" s="41" t="s">
        <v>59</v>
      </c>
      <c r="H10" s="41" t="s">
        <v>60</v>
      </c>
      <c r="I10" s="41" t="s">
        <v>48</v>
      </c>
      <c r="J10" s="42"/>
      <c r="K10" s="40" t="s">
        <v>61</v>
      </c>
      <c r="L10" s="43"/>
    </row>
    <row r="11" spans="2:22" ht="15.75" thickBot="1">
      <c r="B11" s="307" t="s">
        <v>1</v>
      </c>
      <c r="C11" s="45" t="s">
        <v>62</v>
      </c>
      <c r="D11" s="46"/>
      <c r="E11" s="46"/>
      <c r="F11" s="46"/>
      <c r="G11" s="46" t="s">
        <v>63</v>
      </c>
      <c r="H11" s="46" t="s">
        <v>64</v>
      </c>
      <c r="I11" s="47" t="s">
        <v>65</v>
      </c>
      <c r="J11" s="45" t="s">
        <v>66</v>
      </c>
      <c r="K11" s="45" t="s">
        <v>58</v>
      </c>
      <c r="L11" s="48" t="s">
        <v>7</v>
      </c>
      <c r="O11" s="412" t="s">
        <v>105</v>
      </c>
      <c r="P11" s="412"/>
      <c r="Q11" s="412"/>
      <c r="R11" s="412"/>
      <c r="S11" s="412"/>
      <c r="T11" s="412"/>
      <c r="U11" s="412"/>
      <c r="V11" s="412"/>
    </row>
    <row r="12" spans="2:12" ht="14.25" customHeight="1" thickTop="1">
      <c r="B12" s="126" t="s">
        <v>77</v>
      </c>
      <c r="C12" s="185">
        <v>169538796.33</v>
      </c>
      <c r="D12" s="186">
        <v>7229770.54</v>
      </c>
      <c r="E12" s="186">
        <v>10028281.1</v>
      </c>
      <c r="F12" s="186">
        <v>16822934.6</v>
      </c>
      <c r="G12" s="186">
        <v>2975748.06</v>
      </c>
      <c r="H12" s="186">
        <v>0</v>
      </c>
      <c r="I12" s="187">
        <v>135686.7</v>
      </c>
      <c r="J12" s="188">
        <f aca="true" t="shared" si="0" ref="J12:J23">SUM(C12:I12)</f>
        <v>206731217.32999998</v>
      </c>
      <c r="K12" s="185">
        <v>28260138.34</v>
      </c>
      <c r="L12" s="189">
        <f aca="true" t="shared" si="1" ref="L12:L23">SUM(J12:K12)</f>
        <v>234991355.67</v>
      </c>
    </row>
    <row r="13" spans="2:22" ht="14.25" customHeight="1">
      <c r="B13" s="127" t="s">
        <v>75</v>
      </c>
      <c r="C13" s="190">
        <v>144824623.28</v>
      </c>
      <c r="D13" s="102">
        <v>57912851.46</v>
      </c>
      <c r="E13" s="102">
        <v>21556753.92</v>
      </c>
      <c r="F13" s="102">
        <v>20173862.96</v>
      </c>
      <c r="G13" s="102">
        <v>3619278.1</v>
      </c>
      <c r="H13" s="102">
        <v>0</v>
      </c>
      <c r="I13" s="191">
        <v>89005.05</v>
      </c>
      <c r="J13" s="192">
        <f t="shared" si="0"/>
        <v>248176374.77000004</v>
      </c>
      <c r="K13" s="190">
        <v>23058946.71</v>
      </c>
      <c r="L13" s="193">
        <f t="shared" si="1"/>
        <v>271235321.48</v>
      </c>
      <c r="O13" s="380" t="s">
        <v>70</v>
      </c>
      <c r="P13" s="380"/>
      <c r="Q13" s="380"/>
      <c r="R13" s="380"/>
      <c r="S13" s="380"/>
      <c r="T13" s="380"/>
      <c r="U13" s="380"/>
      <c r="V13" s="380"/>
    </row>
    <row r="14" spans="2:12" ht="14.25" customHeight="1">
      <c r="B14" s="127" t="s">
        <v>78</v>
      </c>
      <c r="C14" s="190">
        <v>153537840.03</v>
      </c>
      <c r="D14" s="102">
        <v>14929133.94</v>
      </c>
      <c r="E14" s="102">
        <v>80627475.77</v>
      </c>
      <c r="F14" s="102">
        <v>22077336.64</v>
      </c>
      <c r="G14" s="102">
        <v>3690363.91</v>
      </c>
      <c r="H14" s="102">
        <v>0</v>
      </c>
      <c r="I14" s="191">
        <v>61233.77</v>
      </c>
      <c r="J14" s="192">
        <f t="shared" si="0"/>
        <v>274923384.06</v>
      </c>
      <c r="K14" s="190">
        <v>37073863.65</v>
      </c>
      <c r="L14" s="193">
        <f t="shared" si="1"/>
        <v>311997247.71</v>
      </c>
    </row>
    <row r="15" spans="2:12" ht="14.25" customHeight="1">
      <c r="B15" s="127" t="s">
        <v>79</v>
      </c>
      <c r="C15" s="190">
        <v>169492223.4</v>
      </c>
      <c r="D15" s="102">
        <v>11199514.89</v>
      </c>
      <c r="E15" s="102">
        <v>22996467.78</v>
      </c>
      <c r="F15" s="102">
        <v>20714715.19</v>
      </c>
      <c r="G15" s="102">
        <v>3917894.72</v>
      </c>
      <c r="H15" s="102">
        <v>0</v>
      </c>
      <c r="I15" s="191">
        <v>88366.55</v>
      </c>
      <c r="J15" s="192">
        <f t="shared" si="0"/>
        <v>228409182.53000003</v>
      </c>
      <c r="K15" s="190">
        <v>30239990.91</v>
      </c>
      <c r="L15" s="193">
        <f t="shared" si="1"/>
        <v>258649173.44000003</v>
      </c>
    </row>
    <row r="16" spans="2:12" ht="14.25" customHeight="1">
      <c r="B16" s="127" t="s">
        <v>80</v>
      </c>
      <c r="C16" s="190">
        <v>166663370.28</v>
      </c>
      <c r="D16" s="102">
        <v>11005499.19</v>
      </c>
      <c r="E16" s="102">
        <v>21218650.97</v>
      </c>
      <c r="F16" s="102">
        <v>20193967.5</v>
      </c>
      <c r="G16" s="102">
        <v>3897118.01</v>
      </c>
      <c r="H16" s="102">
        <v>0</v>
      </c>
      <c r="I16" s="191">
        <v>97126.18</v>
      </c>
      <c r="J16" s="192">
        <f t="shared" si="0"/>
        <v>223075732.13</v>
      </c>
      <c r="K16" s="190">
        <v>29370330.73</v>
      </c>
      <c r="L16" s="193">
        <f t="shared" si="1"/>
        <v>252446062.85999998</v>
      </c>
    </row>
    <row r="17" spans="2:26" ht="14.25" customHeight="1">
      <c r="B17" s="127" t="s">
        <v>81</v>
      </c>
      <c r="C17" s="190">
        <v>161504663.95</v>
      </c>
      <c r="D17" s="102">
        <v>12040065.12</v>
      </c>
      <c r="E17" s="102">
        <v>20466838.57</v>
      </c>
      <c r="F17" s="102">
        <v>18061394.63</v>
      </c>
      <c r="G17" s="102">
        <v>3525453.1</v>
      </c>
      <c r="H17" s="102">
        <v>0</v>
      </c>
      <c r="I17" s="191">
        <v>54223.64</v>
      </c>
      <c r="J17" s="192">
        <f t="shared" si="0"/>
        <v>215652639.00999996</v>
      </c>
      <c r="K17" s="190">
        <v>29215088.48</v>
      </c>
      <c r="L17" s="193">
        <f t="shared" si="1"/>
        <v>244867727.48999995</v>
      </c>
      <c r="Z17" t="s">
        <v>71</v>
      </c>
    </row>
    <row r="18" spans="2:12" ht="14.25" customHeight="1">
      <c r="B18" s="127" t="s">
        <v>82</v>
      </c>
      <c r="C18" s="190">
        <v>180715469.28</v>
      </c>
      <c r="D18" s="102">
        <v>14284225.08</v>
      </c>
      <c r="E18" s="102">
        <v>29789653.64</v>
      </c>
      <c r="F18" s="102">
        <v>19928633.04</v>
      </c>
      <c r="G18" s="102">
        <v>3863818.17</v>
      </c>
      <c r="H18" s="102">
        <v>0</v>
      </c>
      <c r="I18" s="191">
        <v>476121.28</v>
      </c>
      <c r="J18" s="192">
        <f t="shared" si="0"/>
        <v>249057920.48999998</v>
      </c>
      <c r="K18" s="190">
        <v>31736886.61</v>
      </c>
      <c r="L18" s="193">
        <f t="shared" si="1"/>
        <v>280794807.09999996</v>
      </c>
    </row>
    <row r="19" spans="2:29" ht="14.25" customHeight="1" thickBot="1">
      <c r="B19" s="127" t="s">
        <v>83</v>
      </c>
      <c r="C19" s="190">
        <v>194476037.88</v>
      </c>
      <c r="D19" s="102">
        <v>12141615.09</v>
      </c>
      <c r="E19" s="102">
        <v>34682365.48</v>
      </c>
      <c r="F19" s="102">
        <v>23721330.24</v>
      </c>
      <c r="G19" s="102">
        <v>4616472.65</v>
      </c>
      <c r="H19" s="102">
        <v>0</v>
      </c>
      <c r="I19" s="191">
        <v>117495.16</v>
      </c>
      <c r="J19" s="192">
        <f t="shared" si="0"/>
        <v>269755316.5</v>
      </c>
      <c r="K19" s="190">
        <v>34996279.85</v>
      </c>
      <c r="L19" s="193">
        <f t="shared" si="1"/>
        <v>304751596.35</v>
      </c>
      <c r="N19" s="413"/>
      <c r="O19" s="413"/>
      <c r="P19" s="413"/>
      <c r="Q19" s="413"/>
      <c r="R19" s="8"/>
      <c r="V19" s="8"/>
      <c r="W19" s="8"/>
      <c r="X19" s="8"/>
      <c r="Y19" s="8"/>
      <c r="AB19" s="8"/>
      <c r="AC19" s="8"/>
    </row>
    <row r="20" spans="2:31" ht="14.25" customHeight="1" thickBot="1" thickTop="1">
      <c r="B20" s="127" t="s">
        <v>84</v>
      </c>
      <c r="C20" s="190">
        <v>185644146.19</v>
      </c>
      <c r="D20" s="102">
        <v>9957384.86</v>
      </c>
      <c r="E20" s="102">
        <v>23921971.68</v>
      </c>
      <c r="F20" s="102">
        <v>27759911.6</v>
      </c>
      <c r="G20" s="102">
        <v>5425423.79</v>
      </c>
      <c r="H20" s="102">
        <v>0</v>
      </c>
      <c r="I20" s="191">
        <v>169108.21</v>
      </c>
      <c r="J20" s="192">
        <f t="shared" si="0"/>
        <v>252877946.33</v>
      </c>
      <c r="K20" s="190">
        <v>34518488.23</v>
      </c>
      <c r="L20" s="193">
        <f t="shared" si="1"/>
        <v>287396434.56</v>
      </c>
      <c r="N20" s="410" t="s">
        <v>96</v>
      </c>
      <c r="O20" s="410"/>
      <c r="P20" s="410"/>
      <c r="Q20" s="410"/>
      <c r="R20" s="410"/>
      <c r="S20" s="410"/>
      <c r="U20" s="410" t="s">
        <v>106</v>
      </c>
      <c r="V20" s="410"/>
      <c r="W20" s="410"/>
      <c r="X20" s="410"/>
      <c r="Y20" s="410"/>
      <c r="Z20" s="410"/>
      <c r="AB20" s="404" t="s">
        <v>107</v>
      </c>
      <c r="AC20" s="405"/>
      <c r="AD20" s="405"/>
      <c r="AE20" s="406"/>
    </row>
    <row r="21" spans="2:26" ht="14.25" customHeight="1" thickBot="1" thickTop="1">
      <c r="B21" s="127" t="s">
        <v>85</v>
      </c>
      <c r="C21" s="190">
        <v>185456426.36</v>
      </c>
      <c r="D21" s="102">
        <v>9039365.22</v>
      </c>
      <c r="E21" s="102">
        <v>20665610.85</v>
      </c>
      <c r="F21" s="102">
        <v>25491803.35</v>
      </c>
      <c r="G21" s="102">
        <v>4991225.9</v>
      </c>
      <c r="H21" s="102">
        <v>0</v>
      </c>
      <c r="I21" s="191">
        <v>78634.37</v>
      </c>
      <c r="J21" s="192">
        <f t="shared" si="0"/>
        <v>245723066.05</v>
      </c>
      <c r="K21" s="190">
        <v>33345050.12</v>
      </c>
      <c r="L21" s="193">
        <f t="shared" si="1"/>
        <v>279068116.17</v>
      </c>
      <c r="N21" s="312"/>
      <c r="O21" s="57"/>
      <c r="P21" s="56"/>
      <c r="Q21" s="57"/>
      <c r="R21" s="56"/>
      <c r="S21" s="57"/>
      <c r="U21" s="56"/>
      <c r="V21" s="57"/>
      <c r="W21" s="56"/>
      <c r="X21" s="57"/>
      <c r="Y21" s="56"/>
      <c r="Z21" s="57"/>
    </row>
    <row r="22" spans="2:31" ht="14.25" customHeight="1" thickBot="1" thickTop="1">
      <c r="B22" s="127" t="s">
        <v>86</v>
      </c>
      <c r="C22" s="190">
        <v>196518594.89</v>
      </c>
      <c r="D22" s="102">
        <v>10381893.45</v>
      </c>
      <c r="E22" s="102">
        <v>24787187.28</v>
      </c>
      <c r="F22" s="102">
        <v>23345086.34</v>
      </c>
      <c r="G22" s="102">
        <v>4545061.93</v>
      </c>
      <c r="H22" s="102">
        <v>0</v>
      </c>
      <c r="I22" s="191">
        <v>104222.2</v>
      </c>
      <c r="J22" s="192">
        <f t="shared" si="0"/>
        <v>259682046.08999997</v>
      </c>
      <c r="K22" s="190">
        <v>34405342.57</v>
      </c>
      <c r="L22" s="193">
        <f t="shared" si="1"/>
        <v>294087388.65999997</v>
      </c>
      <c r="N22" s="313" t="s">
        <v>1</v>
      </c>
      <c r="O22" s="59" t="s">
        <v>72</v>
      </c>
      <c r="P22" s="60" t="s">
        <v>20</v>
      </c>
      <c r="Q22" s="243" t="s">
        <v>68</v>
      </c>
      <c r="R22" s="60" t="s">
        <v>20</v>
      </c>
      <c r="S22" s="61" t="s">
        <v>7</v>
      </c>
      <c r="U22" s="58" t="s">
        <v>1</v>
      </c>
      <c r="V22" s="59" t="s">
        <v>72</v>
      </c>
      <c r="W22" s="60" t="s">
        <v>20</v>
      </c>
      <c r="X22" s="243" t="s">
        <v>68</v>
      </c>
      <c r="Y22" s="60" t="s">
        <v>20</v>
      </c>
      <c r="Z22" s="61" t="s">
        <v>7</v>
      </c>
      <c r="AA22" s="28"/>
      <c r="AB22" s="59" t="s">
        <v>72</v>
      </c>
      <c r="AC22" s="60" t="s">
        <v>20</v>
      </c>
      <c r="AD22" s="243" t="s">
        <v>68</v>
      </c>
      <c r="AE22" s="89" t="s">
        <v>20</v>
      </c>
    </row>
    <row r="23" spans="2:31" ht="14.25" customHeight="1" thickBot="1" thickTop="1">
      <c r="B23" s="128" t="s">
        <v>87</v>
      </c>
      <c r="C23" s="194">
        <v>205475045.45</v>
      </c>
      <c r="D23" s="195">
        <v>10203811.43</v>
      </c>
      <c r="E23" s="195">
        <v>24852445.18</v>
      </c>
      <c r="F23" s="195">
        <v>23955926.28</v>
      </c>
      <c r="G23" s="195">
        <v>4656736.23</v>
      </c>
      <c r="H23" s="195">
        <v>0</v>
      </c>
      <c r="I23" s="196">
        <v>51395.66</v>
      </c>
      <c r="J23" s="197">
        <f t="shared" si="0"/>
        <v>269195360.23</v>
      </c>
      <c r="K23" s="194">
        <v>35276548.21</v>
      </c>
      <c r="L23" s="193">
        <f t="shared" si="1"/>
        <v>304471908.44</v>
      </c>
      <c r="N23" s="237" t="s">
        <v>77</v>
      </c>
      <c r="O23" s="83">
        <v>49587377.86</v>
      </c>
      <c r="P23" s="62">
        <f aca="true" t="shared" si="2" ref="P23:P34">O23*100/S23</f>
        <v>33.945747091200765</v>
      </c>
      <c r="Q23" s="83">
        <v>96490944.49</v>
      </c>
      <c r="R23" s="62">
        <f aca="true" t="shared" si="3" ref="R23:R34">Q23*100/S23</f>
        <v>66.05425290879924</v>
      </c>
      <c r="S23" s="63">
        <f aca="true" t="shared" si="4" ref="S23:S34">O23+Q23</f>
        <v>146078322.35</v>
      </c>
      <c r="U23" s="240" t="s">
        <v>77</v>
      </c>
      <c r="V23" s="83">
        <v>50828117.97</v>
      </c>
      <c r="W23" s="135">
        <f aca="true" t="shared" si="5" ref="W23:W34">V23*100/Z23</f>
        <v>29.98022816622176</v>
      </c>
      <c r="X23" s="83">
        <v>118710678.36</v>
      </c>
      <c r="Y23" s="135">
        <f aca="true" t="shared" si="6" ref="Y23:Y34">X23*100/Z23</f>
        <v>70.01977183377825</v>
      </c>
      <c r="Z23" s="63">
        <f aca="true" t="shared" si="7" ref="Z23:Z34">V23+X23</f>
        <v>169538796.32999998</v>
      </c>
      <c r="AB23" s="90">
        <f aca="true" t="shared" si="8" ref="AB23:AB34">+V23-O23</f>
        <v>1240740.1099999994</v>
      </c>
      <c r="AC23" s="298">
        <f aca="true" t="shared" si="9" ref="AC23:AC34">+V23*100/O23-100</f>
        <v>2.502128895589081</v>
      </c>
      <c r="AD23" s="64">
        <f aca="true" t="shared" si="10" ref="AD23:AD34">X23-Q23</f>
        <v>22219733.870000005</v>
      </c>
      <c r="AE23" s="299">
        <f aca="true" t="shared" si="11" ref="AE23:AE34">+X23*100/Q23-100</f>
        <v>23.027791869425414</v>
      </c>
    </row>
    <row r="24" spans="2:31" ht="14.25" customHeight="1" thickBot="1" thickTop="1">
      <c r="B24" s="49" t="s">
        <v>7</v>
      </c>
      <c r="C24" s="153">
        <f aca="true" t="shared" si="12" ref="C24:K24">SUM(C12:C23)</f>
        <v>2113847237.32</v>
      </c>
      <c r="D24" s="153">
        <f t="shared" si="12"/>
        <v>180325130.27</v>
      </c>
      <c r="E24" s="153">
        <f t="shared" si="12"/>
        <v>335593702.21999997</v>
      </c>
      <c r="F24" s="153">
        <f t="shared" si="12"/>
        <v>262246902.37</v>
      </c>
      <c r="G24" s="153">
        <f t="shared" si="12"/>
        <v>49724594.56999999</v>
      </c>
      <c r="H24" s="153">
        <f t="shared" si="12"/>
        <v>0</v>
      </c>
      <c r="I24" s="153">
        <f t="shared" si="12"/>
        <v>1522618.77</v>
      </c>
      <c r="J24" s="153">
        <f t="shared" si="12"/>
        <v>2943260185.5200005</v>
      </c>
      <c r="K24" s="153">
        <f t="shared" si="12"/>
        <v>381496954.4099999</v>
      </c>
      <c r="L24" s="198">
        <f>SUM(J24:K24)</f>
        <v>3324757139.9300003</v>
      </c>
      <c r="N24" s="238" t="s">
        <v>75</v>
      </c>
      <c r="O24" s="65">
        <v>36350130.85</v>
      </c>
      <c r="P24" s="62">
        <f t="shared" si="2"/>
        <v>28.840762805743772</v>
      </c>
      <c r="Q24" s="65">
        <v>89687211.14</v>
      </c>
      <c r="R24" s="62">
        <f t="shared" si="3"/>
        <v>71.15923719425622</v>
      </c>
      <c r="S24" s="67">
        <f t="shared" si="4"/>
        <v>126037341.99000001</v>
      </c>
      <c r="U24" s="241" t="s">
        <v>75</v>
      </c>
      <c r="V24" s="292">
        <v>38200801.87</v>
      </c>
      <c r="W24" s="293">
        <f t="shared" si="5"/>
        <v>26.37728378284375</v>
      </c>
      <c r="X24" s="294">
        <v>106623821.41</v>
      </c>
      <c r="Y24" s="319">
        <f t="shared" si="6"/>
        <v>73.62271621715624</v>
      </c>
      <c r="Z24" s="300">
        <f t="shared" si="7"/>
        <v>144824623.28</v>
      </c>
      <c r="AB24" s="91">
        <f t="shared" si="8"/>
        <v>1850671.0199999958</v>
      </c>
      <c r="AC24" s="301">
        <f t="shared" si="9"/>
        <v>5.0912361983973256</v>
      </c>
      <c r="AD24" s="68">
        <f t="shared" si="10"/>
        <v>16936610.269999996</v>
      </c>
      <c r="AE24" s="302">
        <f t="shared" si="11"/>
        <v>18.884086208860126</v>
      </c>
    </row>
    <row r="25" spans="2:31" ht="13.5" customHeight="1" thickTop="1">
      <c r="B25" s="9" t="s">
        <v>20</v>
      </c>
      <c r="C25" s="150">
        <f aca="true" t="shared" si="13" ref="C25:I25">C24*100/$L24</f>
        <v>63.57899685161681</v>
      </c>
      <c r="D25" s="150">
        <f t="shared" si="13"/>
        <v>5.423708339605117</v>
      </c>
      <c r="E25" s="150">
        <f t="shared" si="13"/>
        <v>10.093780931832681</v>
      </c>
      <c r="F25" s="150">
        <f t="shared" si="13"/>
        <v>7.887701005900279</v>
      </c>
      <c r="G25" s="150">
        <f t="shared" si="13"/>
        <v>1.4955857669365558</v>
      </c>
      <c r="H25" s="150">
        <f t="shared" si="13"/>
        <v>0</v>
      </c>
      <c r="I25" s="150">
        <f t="shared" si="13"/>
        <v>0.04579639071117409</v>
      </c>
      <c r="J25" s="50"/>
      <c r="K25" s="150">
        <f>K24*100/$L24</f>
        <v>11.47443071339737</v>
      </c>
      <c r="L25" s="51">
        <f>L24*100/$L24</f>
        <v>99.99999999999999</v>
      </c>
      <c r="N25" s="238" t="s">
        <v>78</v>
      </c>
      <c r="O25" s="65">
        <v>38410941.68</v>
      </c>
      <c r="P25" s="62">
        <f t="shared" si="2"/>
        <v>30.368733000653698</v>
      </c>
      <c r="Q25" s="65">
        <v>88070929.26</v>
      </c>
      <c r="R25" s="62">
        <f t="shared" si="3"/>
        <v>69.63126699934631</v>
      </c>
      <c r="S25" s="67">
        <f t="shared" si="4"/>
        <v>126481870.94</v>
      </c>
      <c r="U25" s="241" t="s">
        <v>78</v>
      </c>
      <c r="V25" s="292">
        <v>41360475.5</v>
      </c>
      <c r="W25" s="293">
        <f t="shared" si="5"/>
        <v>26.93829448943564</v>
      </c>
      <c r="X25" s="294">
        <v>112177364.53</v>
      </c>
      <c r="Y25" s="319">
        <f t="shared" si="6"/>
        <v>73.06170551056435</v>
      </c>
      <c r="Z25" s="300">
        <f t="shared" si="7"/>
        <v>153537840.03</v>
      </c>
      <c r="AB25" s="91">
        <f t="shared" si="8"/>
        <v>2949533.8200000003</v>
      </c>
      <c r="AC25" s="301">
        <f t="shared" si="9"/>
        <v>7.67888963663647</v>
      </c>
      <c r="AD25" s="68">
        <f t="shared" si="10"/>
        <v>24106435.269999996</v>
      </c>
      <c r="AE25" s="302">
        <f t="shared" si="11"/>
        <v>27.371614529958904</v>
      </c>
    </row>
    <row r="26" spans="2:31" ht="14.25" customHeight="1" thickBot="1">
      <c r="B26" s="52"/>
      <c r="N26" s="238" t="s">
        <v>79</v>
      </c>
      <c r="O26" s="65">
        <v>39239610.81</v>
      </c>
      <c r="P26" s="62">
        <f t="shared" si="2"/>
        <v>26.734386006357685</v>
      </c>
      <c r="Q26" s="65">
        <v>107536196.2</v>
      </c>
      <c r="R26" s="62">
        <f t="shared" si="3"/>
        <v>73.26561399364232</v>
      </c>
      <c r="S26" s="67">
        <f t="shared" si="4"/>
        <v>146775807.01</v>
      </c>
      <c r="U26" s="241" t="s">
        <v>79</v>
      </c>
      <c r="V26" s="292">
        <v>52125462.72</v>
      </c>
      <c r="W26" s="293">
        <f t="shared" si="5"/>
        <v>30.753896358409563</v>
      </c>
      <c r="X26" s="294">
        <v>117366760.68</v>
      </c>
      <c r="Y26" s="135">
        <f t="shared" si="6"/>
        <v>69.24610364159044</v>
      </c>
      <c r="Z26" s="300">
        <f t="shared" si="7"/>
        <v>169492223.4</v>
      </c>
      <c r="AB26" s="91">
        <f t="shared" si="8"/>
        <v>12885851.909999996</v>
      </c>
      <c r="AC26" s="301">
        <f t="shared" si="9"/>
        <v>32.83888816429368</v>
      </c>
      <c r="AD26" s="68">
        <f t="shared" si="10"/>
        <v>9830564.480000004</v>
      </c>
      <c r="AE26" s="302">
        <f t="shared" si="11"/>
        <v>9.141633075542984</v>
      </c>
    </row>
    <row r="27" spans="2:31" ht="14.25" customHeight="1" thickBot="1" thickTop="1">
      <c r="B27" s="252" t="s">
        <v>41</v>
      </c>
      <c r="C27" s="276">
        <f>C24/12</f>
        <v>176153936.44333333</v>
      </c>
      <c r="D27" s="276">
        <f aca="true" t="shared" si="14" ref="D27:I27">D24/12</f>
        <v>15027094.189166667</v>
      </c>
      <c r="E27" s="276">
        <f t="shared" si="14"/>
        <v>27966141.851666663</v>
      </c>
      <c r="F27" s="276">
        <f t="shared" si="14"/>
        <v>21853908.530833334</v>
      </c>
      <c r="G27" s="276">
        <f t="shared" si="14"/>
        <v>4143716.214166666</v>
      </c>
      <c r="H27" s="276">
        <f t="shared" si="14"/>
        <v>0</v>
      </c>
      <c r="I27" s="276">
        <f t="shared" si="14"/>
        <v>126884.8975</v>
      </c>
      <c r="J27" s="277">
        <f>J24/12</f>
        <v>245271682.1266667</v>
      </c>
      <c r="K27" s="279">
        <f>K24/12</f>
        <v>31791412.867499992</v>
      </c>
      <c r="L27" s="280">
        <f>L24/12</f>
        <v>277063094.9941667</v>
      </c>
      <c r="N27" s="238" t="s">
        <v>80</v>
      </c>
      <c r="O27" s="65">
        <v>45249701.73</v>
      </c>
      <c r="P27" s="66">
        <f t="shared" si="2"/>
        <v>30.13384593691269</v>
      </c>
      <c r="Q27" s="65">
        <v>104912683.2</v>
      </c>
      <c r="R27" s="66">
        <f t="shared" si="3"/>
        <v>69.86615406308731</v>
      </c>
      <c r="S27" s="67">
        <f t="shared" si="4"/>
        <v>150162384.93</v>
      </c>
      <c r="U27" s="241" t="s">
        <v>80</v>
      </c>
      <c r="V27" s="292">
        <v>49057779.39</v>
      </c>
      <c r="W27" s="293">
        <f t="shared" si="5"/>
        <v>29.435249813790097</v>
      </c>
      <c r="X27" s="294">
        <v>117605590.89</v>
      </c>
      <c r="Y27" s="293">
        <f t="shared" si="6"/>
        <v>70.5647501862099</v>
      </c>
      <c r="Z27" s="295">
        <f t="shared" si="7"/>
        <v>166663370.28</v>
      </c>
      <c r="AB27" s="91">
        <f t="shared" si="8"/>
        <v>3808077.660000004</v>
      </c>
      <c r="AC27" s="301">
        <f t="shared" si="9"/>
        <v>8.415696710494103</v>
      </c>
      <c r="AD27" s="68">
        <f t="shared" si="10"/>
        <v>12692907.689999998</v>
      </c>
      <c r="AE27" s="348">
        <f t="shared" si="11"/>
        <v>12.098544525644158</v>
      </c>
    </row>
    <row r="28" spans="14:31" ht="14.25" customHeight="1" thickBot="1" thickTop="1">
      <c r="N28" s="238" t="s">
        <v>81</v>
      </c>
      <c r="O28" s="65">
        <v>41492241.85</v>
      </c>
      <c r="P28" s="66">
        <f t="shared" si="2"/>
        <v>30.225048664732686</v>
      </c>
      <c r="Q28" s="65">
        <v>95785425.79</v>
      </c>
      <c r="R28" s="66">
        <f t="shared" si="3"/>
        <v>69.7749513352673</v>
      </c>
      <c r="S28" s="67">
        <f t="shared" si="4"/>
        <v>137277667.64000002</v>
      </c>
      <c r="U28" s="241" t="s">
        <v>81</v>
      </c>
      <c r="V28" s="292">
        <v>49790063.8</v>
      </c>
      <c r="W28" s="293">
        <f t="shared" si="5"/>
        <v>30.828870561542693</v>
      </c>
      <c r="X28" s="294">
        <v>111714600.15</v>
      </c>
      <c r="Y28" s="293">
        <f t="shared" si="6"/>
        <v>69.17112943845731</v>
      </c>
      <c r="Z28" s="295">
        <f t="shared" si="7"/>
        <v>161504663.95</v>
      </c>
      <c r="AB28" s="91">
        <f t="shared" si="8"/>
        <v>8297821.9499999955</v>
      </c>
      <c r="AC28" s="301">
        <f t="shared" si="9"/>
        <v>19.998490271983215</v>
      </c>
      <c r="AD28" s="68">
        <f t="shared" si="10"/>
        <v>15929174.36</v>
      </c>
      <c r="AE28" s="348">
        <f t="shared" si="11"/>
        <v>16.630060605381786</v>
      </c>
    </row>
    <row r="29" spans="2:31" ht="14.25" customHeight="1" thickBot="1" thickTop="1">
      <c r="B29" s="8">
        <v>2016</v>
      </c>
      <c r="C29" s="398" t="s">
        <v>2</v>
      </c>
      <c r="D29" s="399"/>
      <c r="E29" s="400"/>
      <c r="H29" s="8">
        <v>2016</v>
      </c>
      <c r="I29" s="398" t="s">
        <v>6</v>
      </c>
      <c r="J29" s="399"/>
      <c r="K29" s="400"/>
      <c r="N29" s="238" t="s">
        <v>82</v>
      </c>
      <c r="O29" s="65">
        <v>44575686.75</v>
      </c>
      <c r="P29" s="66">
        <f t="shared" si="2"/>
        <v>31.184930518609953</v>
      </c>
      <c r="Q29" s="65">
        <v>98364143.51</v>
      </c>
      <c r="R29" s="66">
        <f t="shared" si="3"/>
        <v>68.81506948139005</v>
      </c>
      <c r="S29" s="67">
        <f t="shared" si="4"/>
        <v>142939830.26</v>
      </c>
      <c r="U29" s="241" t="s">
        <v>82</v>
      </c>
      <c r="V29" s="292">
        <v>50418039.26</v>
      </c>
      <c r="W29" s="293">
        <f t="shared" si="5"/>
        <v>27.899127540588374</v>
      </c>
      <c r="X29" s="294">
        <v>130297430.02</v>
      </c>
      <c r="Y29" s="293">
        <f t="shared" si="6"/>
        <v>72.10087245941163</v>
      </c>
      <c r="Z29" s="295">
        <f t="shared" si="7"/>
        <v>180715469.28</v>
      </c>
      <c r="AB29" s="91">
        <f t="shared" si="8"/>
        <v>5842352.509999998</v>
      </c>
      <c r="AC29" s="301">
        <f t="shared" si="9"/>
        <v>13.106590017931694</v>
      </c>
      <c r="AD29" s="68">
        <f t="shared" si="10"/>
        <v>31933286.50999999</v>
      </c>
      <c r="AE29" s="348">
        <f t="shared" si="11"/>
        <v>32.46435679761046</v>
      </c>
    </row>
    <row r="30" spans="2:31" ht="14.25" customHeight="1" thickBot="1" thickTop="1">
      <c r="B30" s="44" t="s">
        <v>1</v>
      </c>
      <c r="C30" s="53" t="s">
        <v>67</v>
      </c>
      <c r="D30" s="53" t="s">
        <v>68</v>
      </c>
      <c r="E30" s="54" t="s">
        <v>7</v>
      </c>
      <c r="G30" s="1"/>
      <c r="H30" s="44" t="s">
        <v>1</v>
      </c>
      <c r="I30" s="53" t="s">
        <v>35</v>
      </c>
      <c r="J30" s="53" t="s">
        <v>36</v>
      </c>
      <c r="K30" s="54" t="s">
        <v>7</v>
      </c>
      <c r="N30" s="238" t="s">
        <v>83</v>
      </c>
      <c r="O30" s="65">
        <v>42035408.36</v>
      </c>
      <c r="P30" s="66">
        <f t="shared" si="2"/>
        <v>29.56252741576911</v>
      </c>
      <c r="Q30" s="65">
        <v>100156115.96</v>
      </c>
      <c r="R30" s="66">
        <f t="shared" si="3"/>
        <v>70.43747258423089</v>
      </c>
      <c r="S30" s="67">
        <f t="shared" si="4"/>
        <v>142191524.32</v>
      </c>
      <c r="U30" s="241" t="s">
        <v>83</v>
      </c>
      <c r="V30" s="292">
        <v>56977035.59</v>
      </c>
      <c r="W30" s="293">
        <f t="shared" si="5"/>
        <v>29.297715138127845</v>
      </c>
      <c r="X30" s="294">
        <v>137499002.29</v>
      </c>
      <c r="Y30" s="293">
        <f t="shared" si="6"/>
        <v>70.70228486187216</v>
      </c>
      <c r="Z30" s="295">
        <f t="shared" si="7"/>
        <v>194476037.88</v>
      </c>
      <c r="AB30" s="91">
        <f t="shared" si="8"/>
        <v>14941627.230000004</v>
      </c>
      <c r="AC30" s="301">
        <f t="shared" si="9"/>
        <v>35.545336212834655</v>
      </c>
      <c r="AD30" s="68">
        <f t="shared" si="10"/>
        <v>37342886.33</v>
      </c>
      <c r="AE30" s="348">
        <f t="shared" si="11"/>
        <v>37.28467899545333</v>
      </c>
    </row>
    <row r="31" spans="2:31" ht="15" customHeight="1" thickTop="1">
      <c r="B31" s="126" t="s">
        <v>77</v>
      </c>
      <c r="C31" s="199">
        <v>50828117.97</v>
      </c>
      <c r="D31" s="200">
        <v>118710678.36</v>
      </c>
      <c r="E31" s="189">
        <f aca="true" t="shared" si="15" ref="E31:E42">SUM(C31:D31)</f>
        <v>169538796.32999998</v>
      </c>
      <c r="H31" s="134" t="s">
        <v>77</v>
      </c>
      <c r="I31" s="199">
        <v>27145884.89</v>
      </c>
      <c r="J31" s="200">
        <v>1114253.45</v>
      </c>
      <c r="K31" s="189">
        <f aca="true" t="shared" si="16" ref="K31:K42">SUM(I31:J31)</f>
        <v>28260138.34</v>
      </c>
      <c r="N31" s="238" t="s">
        <v>84</v>
      </c>
      <c r="O31" s="65">
        <v>41728710.15</v>
      </c>
      <c r="P31" s="66">
        <f t="shared" si="2"/>
        <v>30.08067086005737</v>
      </c>
      <c r="Q31" s="65">
        <v>96993961.11</v>
      </c>
      <c r="R31" s="66">
        <f t="shared" si="3"/>
        <v>69.91932913994263</v>
      </c>
      <c r="S31" s="67">
        <f t="shared" si="4"/>
        <v>138722671.26</v>
      </c>
      <c r="U31" s="241" t="s">
        <v>84</v>
      </c>
      <c r="V31" s="292">
        <v>56691117.32</v>
      </c>
      <c r="W31" s="293">
        <f t="shared" si="5"/>
        <v>30.537519487406144</v>
      </c>
      <c r="X31" s="294">
        <v>128953028.87</v>
      </c>
      <c r="Y31" s="293">
        <f t="shared" si="6"/>
        <v>69.46248051259386</v>
      </c>
      <c r="Z31" s="295">
        <f t="shared" si="7"/>
        <v>185644146.19</v>
      </c>
      <c r="AB31" s="91">
        <f t="shared" si="8"/>
        <v>14962407.170000002</v>
      </c>
      <c r="AC31" s="301">
        <f t="shared" si="9"/>
        <v>35.85638548667194</v>
      </c>
      <c r="AD31" s="68">
        <f t="shared" si="10"/>
        <v>31959067.760000005</v>
      </c>
      <c r="AE31" s="348">
        <f t="shared" si="11"/>
        <v>32.94954386258698</v>
      </c>
    </row>
    <row r="32" spans="2:31" ht="15" customHeight="1">
      <c r="B32" s="127" t="s">
        <v>75</v>
      </c>
      <c r="C32" s="201">
        <v>38200801.87</v>
      </c>
      <c r="D32" s="202">
        <v>106623821.41</v>
      </c>
      <c r="E32" s="193">
        <f t="shared" si="15"/>
        <v>144824623.28</v>
      </c>
      <c r="H32" s="127" t="s">
        <v>75</v>
      </c>
      <c r="I32" s="201">
        <v>20663751.84</v>
      </c>
      <c r="J32" s="202">
        <v>2395194.87</v>
      </c>
      <c r="K32" s="193">
        <f t="shared" si="16"/>
        <v>23058946.71</v>
      </c>
      <c r="N32" s="238" t="s">
        <v>85</v>
      </c>
      <c r="O32" s="65">
        <v>44201733.48</v>
      </c>
      <c r="P32" s="66">
        <f t="shared" si="2"/>
        <v>30.89981279984024</v>
      </c>
      <c r="Q32" s="65">
        <v>98846814.31</v>
      </c>
      <c r="R32" s="66">
        <f t="shared" si="3"/>
        <v>69.10018720015977</v>
      </c>
      <c r="S32" s="67">
        <f t="shared" si="4"/>
        <v>143048547.79</v>
      </c>
      <c r="U32" s="241" t="s">
        <v>85</v>
      </c>
      <c r="V32" s="292">
        <v>54365692.18</v>
      </c>
      <c r="W32" s="293">
        <f t="shared" si="5"/>
        <v>29.314536706572607</v>
      </c>
      <c r="X32" s="294">
        <v>131090734.18</v>
      </c>
      <c r="Y32" s="293">
        <f t="shared" si="6"/>
        <v>70.68546329342739</v>
      </c>
      <c r="Z32" s="295">
        <f t="shared" si="7"/>
        <v>185456426.36</v>
      </c>
      <c r="AB32" s="91">
        <f t="shared" si="8"/>
        <v>10163958.700000003</v>
      </c>
      <c r="AC32" s="301">
        <f t="shared" si="9"/>
        <v>22.994479853598733</v>
      </c>
      <c r="AD32" s="68">
        <f t="shared" si="10"/>
        <v>32243919.870000005</v>
      </c>
      <c r="AE32" s="348">
        <f t="shared" si="11"/>
        <v>32.62009008087779</v>
      </c>
    </row>
    <row r="33" spans="2:31" ht="14.25" customHeight="1">
      <c r="B33" s="127" t="s">
        <v>78</v>
      </c>
      <c r="C33" s="201">
        <v>41360475.5</v>
      </c>
      <c r="D33" s="202">
        <v>112177364.53</v>
      </c>
      <c r="E33" s="193">
        <f t="shared" si="15"/>
        <v>153537840.03</v>
      </c>
      <c r="G33" s="1"/>
      <c r="H33" s="127" t="s">
        <v>78</v>
      </c>
      <c r="I33" s="201">
        <v>28115255.26</v>
      </c>
      <c r="J33" s="202">
        <v>8958608.39</v>
      </c>
      <c r="K33" s="193">
        <f t="shared" si="16"/>
        <v>37073863.650000006</v>
      </c>
      <c r="N33" s="238" t="s">
        <v>86</v>
      </c>
      <c r="O33" s="65">
        <v>45462570.45</v>
      </c>
      <c r="P33" s="66">
        <f t="shared" si="2"/>
        <v>30.437998291722224</v>
      </c>
      <c r="Q33" s="65">
        <v>103898665.51</v>
      </c>
      <c r="R33" s="66">
        <f t="shared" si="3"/>
        <v>69.56200170827778</v>
      </c>
      <c r="S33" s="67">
        <f t="shared" si="4"/>
        <v>149361235.96</v>
      </c>
      <c r="U33" s="241" t="s">
        <v>86</v>
      </c>
      <c r="V33" s="292">
        <v>56779419.22</v>
      </c>
      <c r="W33" s="293">
        <f t="shared" si="5"/>
        <v>28.892644612985308</v>
      </c>
      <c r="X33" s="294">
        <v>139739175.67</v>
      </c>
      <c r="Y33" s="293">
        <f t="shared" si="6"/>
        <v>71.10735538701469</v>
      </c>
      <c r="Z33" s="295">
        <f t="shared" si="7"/>
        <v>196518594.89</v>
      </c>
      <c r="AB33" s="91">
        <f t="shared" si="8"/>
        <v>11316848.769999996</v>
      </c>
      <c r="AC33" s="301">
        <f t="shared" si="9"/>
        <v>24.89267249516024</v>
      </c>
      <c r="AD33" s="68">
        <f t="shared" si="10"/>
        <v>35840510.15999998</v>
      </c>
      <c r="AE33" s="348">
        <f t="shared" si="11"/>
        <v>34.4956405205709</v>
      </c>
    </row>
    <row r="34" spans="2:31" ht="14.25" customHeight="1" thickBot="1">
      <c r="B34" s="127" t="s">
        <v>79</v>
      </c>
      <c r="C34" s="201">
        <v>52125462.72</v>
      </c>
      <c r="D34" s="202">
        <v>117366760.68</v>
      </c>
      <c r="E34" s="193">
        <f t="shared" si="15"/>
        <v>169492223.4</v>
      </c>
      <c r="H34" s="127" t="s">
        <v>79</v>
      </c>
      <c r="I34" s="201">
        <v>27684827.82</v>
      </c>
      <c r="J34" s="202">
        <v>2555163.09</v>
      </c>
      <c r="K34" s="193">
        <f t="shared" si="16"/>
        <v>30239990.91</v>
      </c>
      <c r="N34" s="239" t="s">
        <v>87</v>
      </c>
      <c r="O34" s="69">
        <v>44511428.1</v>
      </c>
      <c r="P34" s="66">
        <f t="shared" si="2"/>
        <v>30.414329227014147</v>
      </c>
      <c r="Q34" s="69">
        <v>101838760.22</v>
      </c>
      <c r="R34" s="66">
        <f t="shared" si="3"/>
        <v>69.58567077298586</v>
      </c>
      <c r="S34" s="70">
        <f t="shared" si="4"/>
        <v>146350188.32</v>
      </c>
      <c r="U34" s="242" t="s">
        <v>87</v>
      </c>
      <c r="V34" s="83">
        <v>57369173.27</v>
      </c>
      <c r="W34" s="62">
        <f t="shared" si="5"/>
        <v>27.920263088083914</v>
      </c>
      <c r="X34" s="83">
        <v>148105872.18</v>
      </c>
      <c r="Y34" s="62">
        <f t="shared" si="6"/>
        <v>72.07973691191607</v>
      </c>
      <c r="Z34" s="291">
        <f t="shared" si="7"/>
        <v>205475045.45000002</v>
      </c>
      <c r="AB34" s="91">
        <f t="shared" si="8"/>
        <v>12857745.170000002</v>
      </c>
      <c r="AC34" s="301">
        <f t="shared" si="9"/>
        <v>28.88639102100612</v>
      </c>
      <c r="AD34" s="68">
        <f t="shared" si="10"/>
        <v>46267111.96000001</v>
      </c>
      <c r="AE34" s="348">
        <f t="shared" si="11"/>
        <v>45.431731356558345</v>
      </c>
    </row>
    <row r="35" spans="2:31" ht="14.25" customHeight="1" thickBot="1" thickTop="1">
      <c r="B35" s="127" t="s">
        <v>80</v>
      </c>
      <c r="C35" s="201">
        <v>49057779.39</v>
      </c>
      <c r="D35" s="202">
        <v>117605590.89</v>
      </c>
      <c r="E35" s="193">
        <f t="shared" si="15"/>
        <v>166663370.28</v>
      </c>
      <c r="H35" s="127" t="s">
        <v>80</v>
      </c>
      <c r="I35" s="201">
        <v>27012702.85</v>
      </c>
      <c r="J35" s="202">
        <v>2357627.88</v>
      </c>
      <c r="K35" s="193">
        <f t="shared" si="16"/>
        <v>29370330.73</v>
      </c>
      <c r="N35" s="257" t="s">
        <v>7</v>
      </c>
      <c r="O35" s="71">
        <f>SUM(O23:O34)</f>
        <v>512845542.07</v>
      </c>
      <c r="P35" s="73"/>
      <c r="Q35" s="71">
        <f>SUM(Q23:Q34)</f>
        <v>1182581850.7</v>
      </c>
      <c r="R35" s="73"/>
      <c r="S35" s="72">
        <f>SUM(O35:Q35)</f>
        <v>1695427392.77</v>
      </c>
      <c r="U35" s="257" t="s">
        <v>7</v>
      </c>
      <c r="V35" s="71">
        <f>SUM(V23:V34)</f>
        <v>613963178.09</v>
      </c>
      <c r="W35" s="73"/>
      <c r="X35" s="71">
        <f>SUM(X23:X34)</f>
        <v>1499884059.23</v>
      </c>
      <c r="Y35" s="73"/>
      <c r="Z35" s="72">
        <f>SUM(V35:X35)</f>
        <v>2113847237.3200002</v>
      </c>
      <c r="AB35" s="74">
        <f>SUM(AB23:AB34)</f>
        <v>101117636.02</v>
      </c>
      <c r="AC35" s="354">
        <f>+V35*100/O35-100</f>
        <v>19.716976696698694</v>
      </c>
      <c r="AD35" s="75">
        <f>SUM(AD23:AD34)</f>
        <v>317302208.53</v>
      </c>
      <c r="AE35" s="355">
        <f>+X35*100/Q35-100</f>
        <v>26.83131052131239</v>
      </c>
    </row>
    <row r="36" spans="2:30" ht="14.25" customHeight="1" thickTop="1">
      <c r="B36" s="127" t="s">
        <v>81</v>
      </c>
      <c r="C36" s="201">
        <v>49790063.8</v>
      </c>
      <c r="D36" s="202">
        <v>111714600.15</v>
      </c>
      <c r="E36" s="193">
        <f t="shared" si="15"/>
        <v>161504663.95</v>
      </c>
      <c r="H36" s="127" t="s">
        <v>81</v>
      </c>
      <c r="I36" s="201">
        <v>26940995.3</v>
      </c>
      <c r="J36" s="202">
        <v>2274093.18</v>
      </c>
      <c r="K36" s="193">
        <f t="shared" si="16"/>
        <v>29215088.48</v>
      </c>
      <c r="N36" s="8" t="s">
        <v>20</v>
      </c>
      <c r="O36" s="76">
        <f>O35*100/S35</f>
        <v>30.248746968285662</v>
      </c>
      <c r="P36" s="77"/>
      <c r="Q36" s="76">
        <f>Q35*100/S35</f>
        <v>69.75125303171434</v>
      </c>
      <c r="R36" s="78"/>
      <c r="S36" s="79">
        <f>S35*100/S35</f>
        <v>100</v>
      </c>
      <c r="U36" s="8" t="s">
        <v>20</v>
      </c>
      <c r="V36" s="76">
        <f>V35*100/Z35</f>
        <v>29.044822504222264</v>
      </c>
      <c r="W36" s="77"/>
      <c r="X36" s="76">
        <f>X35*100/Z35</f>
        <v>70.95517749577773</v>
      </c>
      <c r="Y36" s="78"/>
      <c r="Z36" s="79">
        <f>Z35*100/Z35</f>
        <v>100</v>
      </c>
      <c r="AA36" s="8"/>
      <c r="AB36" s="80" t="s">
        <v>7</v>
      </c>
      <c r="AC36" s="92"/>
      <c r="AD36" s="232">
        <f>+AB35+AD35</f>
        <v>418419844.54999995</v>
      </c>
    </row>
    <row r="37" spans="2:29" ht="14.25" customHeight="1">
      <c r="B37" s="127" t="s">
        <v>82</v>
      </c>
      <c r="C37" s="201">
        <v>50418039.26</v>
      </c>
      <c r="D37" s="202">
        <v>130297430.02</v>
      </c>
      <c r="E37" s="193">
        <f t="shared" si="15"/>
        <v>180715469.28</v>
      </c>
      <c r="H37" s="127" t="s">
        <v>82</v>
      </c>
      <c r="I37" s="201">
        <v>28426423.98</v>
      </c>
      <c r="J37" s="202">
        <v>3310462.63</v>
      </c>
      <c r="K37" s="193">
        <f t="shared" si="16"/>
        <v>31736886.61</v>
      </c>
      <c r="AB37" s="1"/>
      <c r="AC37" s="1"/>
    </row>
    <row r="38" spans="2:29" ht="14.25" customHeight="1" thickBot="1">
      <c r="B38" s="127" t="s">
        <v>83</v>
      </c>
      <c r="C38" s="201">
        <v>56977035.59</v>
      </c>
      <c r="D38" s="202">
        <v>137499002.29</v>
      </c>
      <c r="E38" s="193">
        <f t="shared" si="15"/>
        <v>194476037.88</v>
      </c>
      <c r="H38" s="127" t="s">
        <v>83</v>
      </c>
      <c r="I38" s="201">
        <v>31142683.71</v>
      </c>
      <c r="J38" s="202">
        <v>3853596.14</v>
      </c>
      <c r="K38" s="193">
        <f t="shared" si="16"/>
        <v>34996279.85</v>
      </c>
      <c r="AB38" s="81"/>
      <c r="AC38" s="82"/>
    </row>
    <row r="39" spans="2:26" ht="14.25" customHeight="1" thickBot="1" thickTop="1">
      <c r="B39" s="127" t="s">
        <v>84</v>
      </c>
      <c r="C39" s="201">
        <v>56691117.32</v>
      </c>
      <c r="D39" s="202">
        <v>128953028.87</v>
      </c>
      <c r="E39" s="193">
        <f t="shared" si="15"/>
        <v>185644146.19</v>
      </c>
      <c r="H39" s="127" t="s">
        <v>84</v>
      </c>
      <c r="I39" s="201">
        <v>31860491.36</v>
      </c>
      <c r="J39" s="202">
        <v>2657996.87</v>
      </c>
      <c r="K39" s="193">
        <f t="shared" si="16"/>
        <v>34518488.23</v>
      </c>
      <c r="N39" s="253" t="s">
        <v>41</v>
      </c>
      <c r="O39" s="322">
        <f>O35/12</f>
        <v>42737128.505833335</v>
      </c>
      <c r="P39" s="321"/>
      <c r="Q39" s="322">
        <f>Q35/12</f>
        <v>98548487.55833334</v>
      </c>
      <c r="R39" s="171"/>
      <c r="S39" s="322">
        <f>S35/12</f>
        <v>141285616.06416667</v>
      </c>
      <c r="T39" s="84"/>
      <c r="U39" s="84"/>
      <c r="V39" s="322">
        <f>V35/12</f>
        <v>51163598.17416667</v>
      </c>
      <c r="W39" s="171"/>
      <c r="X39" s="322">
        <f>X35/12</f>
        <v>124990338.26916666</v>
      </c>
      <c r="Y39" s="171"/>
      <c r="Z39" s="322">
        <f>Z35/12</f>
        <v>176153936.44333336</v>
      </c>
    </row>
    <row r="40" spans="2:26" ht="14.25" customHeight="1" thickTop="1">
      <c r="B40" s="127" t="s">
        <v>85</v>
      </c>
      <c r="C40" s="201">
        <v>54365692.18</v>
      </c>
      <c r="D40" s="202">
        <v>131090734.18</v>
      </c>
      <c r="E40" s="193">
        <f t="shared" si="15"/>
        <v>185456426.36</v>
      </c>
      <c r="H40" s="127" t="s">
        <v>85</v>
      </c>
      <c r="I40" s="201">
        <v>31048871.14</v>
      </c>
      <c r="J40" s="202">
        <v>2296178.98</v>
      </c>
      <c r="K40" s="193">
        <f t="shared" si="16"/>
        <v>33345050.12</v>
      </c>
      <c r="O40" s="401">
        <v>2015</v>
      </c>
      <c r="P40" s="402"/>
      <c r="Q40" s="402"/>
      <c r="R40" s="402"/>
      <c r="S40" s="403"/>
      <c r="V40" s="401">
        <v>2016</v>
      </c>
      <c r="W40" s="402"/>
      <c r="X40" s="402"/>
      <c r="Y40" s="402"/>
      <c r="Z40" s="403"/>
    </row>
    <row r="41" spans="2:11" ht="14.25" customHeight="1">
      <c r="B41" s="127" t="s">
        <v>86</v>
      </c>
      <c r="C41" s="201">
        <v>56779419.22</v>
      </c>
      <c r="D41" s="202">
        <v>139739175.67</v>
      </c>
      <c r="E41" s="193">
        <f t="shared" si="15"/>
        <v>196518594.89</v>
      </c>
      <c r="H41" s="127" t="s">
        <v>86</v>
      </c>
      <c r="I41" s="201">
        <v>31651210.68</v>
      </c>
      <c r="J41" s="202">
        <v>2754131.89</v>
      </c>
      <c r="K41" s="193">
        <f t="shared" si="16"/>
        <v>34405342.57</v>
      </c>
    </row>
    <row r="42" spans="2:11" ht="14.25" customHeight="1" thickBot="1">
      <c r="B42" s="128" t="s">
        <v>87</v>
      </c>
      <c r="C42" s="203">
        <v>57369173.27</v>
      </c>
      <c r="D42" s="204">
        <v>148105872.18</v>
      </c>
      <c r="E42" s="193">
        <f t="shared" si="15"/>
        <v>205475045.45000002</v>
      </c>
      <c r="H42" s="128" t="s">
        <v>87</v>
      </c>
      <c r="I42" s="203">
        <v>32515165.43</v>
      </c>
      <c r="J42" s="204">
        <v>2761382.78</v>
      </c>
      <c r="K42" s="193">
        <f t="shared" si="16"/>
        <v>35276548.21</v>
      </c>
    </row>
    <row r="43" spans="2:11" ht="14.25" thickBot="1" thickTop="1">
      <c r="B43" s="256" t="s">
        <v>7</v>
      </c>
      <c r="C43" s="205">
        <f>SUM(C31:C42)</f>
        <v>613963178.09</v>
      </c>
      <c r="D43" s="205">
        <f>SUM(D31:D42)</f>
        <v>1499884059.23</v>
      </c>
      <c r="E43" s="206">
        <f>SUM(C43:D43)</f>
        <v>2113847237.3200002</v>
      </c>
      <c r="H43" s="256" t="s">
        <v>7</v>
      </c>
      <c r="I43" s="205">
        <f>SUM(I31:I42)</f>
        <v>344208264.26</v>
      </c>
      <c r="J43" s="205">
        <f>SUM(J31:J42)</f>
        <v>37288690.15</v>
      </c>
      <c r="K43" s="206">
        <f>SUM(I43:J43)</f>
        <v>381496954.40999997</v>
      </c>
    </row>
    <row r="44" spans="2:11" ht="13.5" thickTop="1">
      <c r="B44" s="9" t="s">
        <v>20</v>
      </c>
      <c r="C44" s="350">
        <f>C43*100/E43</f>
        <v>29.044822504222264</v>
      </c>
      <c r="D44" s="350">
        <f>D43*100/$E43</f>
        <v>70.95517749577773</v>
      </c>
      <c r="E44" s="55">
        <f>E43*100/$E43</f>
        <v>100</v>
      </c>
      <c r="H44" s="9" t="s">
        <v>20</v>
      </c>
      <c r="I44" s="350">
        <f>I43*100/K43</f>
        <v>90.22569126202636</v>
      </c>
      <c r="J44" s="350">
        <f>J43*100/$K43</f>
        <v>9.774308737973655</v>
      </c>
      <c r="K44" s="55">
        <f>K43*100/$K43</f>
        <v>100.00000000000001</v>
      </c>
    </row>
    <row r="45" spans="2:11" ht="13.5">
      <c r="B45" s="253" t="s">
        <v>41</v>
      </c>
      <c r="C45" s="351">
        <f>+C43/12</f>
        <v>51163598.17416667</v>
      </c>
      <c r="D45" s="351">
        <f>+D43/12</f>
        <v>124990338.26916666</v>
      </c>
      <c r="E45" s="351">
        <f>+E43/12</f>
        <v>176153936.44333336</v>
      </c>
      <c r="H45" s="253" t="s">
        <v>41</v>
      </c>
      <c r="I45" s="351">
        <f>+I43/12</f>
        <v>28684022.021666665</v>
      </c>
      <c r="J45" s="351">
        <f>+J43/12</f>
        <v>3107390.845833333</v>
      </c>
      <c r="K45" s="351">
        <f>+K43/12</f>
        <v>31791412.867499996</v>
      </c>
    </row>
    <row r="48" spans="2:8" ht="14.25">
      <c r="B48" s="415" t="s">
        <v>101</v>
      </c>
      <c r="C48" s="416"/>
      <c r="D48" s="416"/>
      <c r="E48" s="416"/>
      <c r="F48" s="416"/>
      <c r="G48" s="416"/>
      <c r="H48" s="417"/>
    </row>
    <row r="49" spans="2:5" ht="12.75">
      <c r="B49" s="309"/>
      <c r="C49" s="308"/>
      <c r="D49" s="308"/>
      <c r="E49" s="308"/>
    </row>
    <row r="50" spans="2:13" ht="13.5" thickBot="1">
      <c r="B50" s="419" t="s">
        <v>102</v>
      </c>
      <c r="C50" s="420"/>
      <c r="D50" s="420"/>
      <c r="E50" s="420"/>
      <c r="G50" s="146">
        <v>2016</v>
      </c>
      <c r="H50" s="397" t="s">
        <v>103</v>
      </c>
      <c r="I50" s="397"/>
      <c r="J50" s="397"/>
      <c r="K50" s="397"/>
      <c r="M50" s="146">
        <v>2016</v>
      </c>
    </row>
    <row r="51" spans="2:13" ht="14.25" thickBot="1" thickTop="1">
      <c r="B51" s="310"/>
      <c r="C51" s="418" t="s">
        <v>3</v>
      </c>
      <c r="D51" s="418"/>
      <c r="E51" s="52" t="s">
        <v>76</v>
      </c>
      <c r="F51" s="148" t="s">
        <v>51</v>
      </c>
      <c r="G51" s="149" t="s">
        <v>88</v>
      </c>
      <c r="I51" s="423" t="s">
        <v>4</v>
      </c>
      <c r="J51" s="423"/>
      <c r="K51" s="8" t="s">
        <v>76</v>
      </c>
      <c r="L51" s="148" t="s">
        <v>51</v>
      </c>
      <c r="M51" s="149" t="s">
        <v>88</v>
      </c>
    </row>
    <row r="52" spans="2:13" ht="14.25" thickBot="1" thickTop="1">
      <c r="B52" s="306" t="s">
        <v>1</v>
      </c>
      <c r="C52" s="114">
        <v>2015</v>
      </c>
      <c r="D52" s="114">
        <v>2016</v>
      </c>
      <c r="E52" s="52" t="s">
        <v>89</v>
      </c>
      <c r="F52" s="8" t="s">
        <v>20</v>
      </c>
      <c r="G52" s="147" t="s">
        <v>50</v>
      </c>
      <c r="H52" s="8" t="s">
        <v>1</v>
      </c>
      <c r="I52" s="114">
        <v>2015</v>
      </c>
      <c r="J52" s="114">
        <v>2016</v>
      </c>
      <c r="K52" s="8" t="s">
        <v>89</v>
      </c>
      <c r="L52" s="8" t="s">
        <v>20</v>
      </c>
      <c r="M52" s="147" t="s">
        <v>50</v>
      </c>
    </row>
    <row r="53" spans="2:13" ht="14.25" customHeight="1" thickTop="1">
      <c r="B53" s="244" t="s">
        <v>77</v>
      </c>
      <c r="C53" s="115">
        <v>8592129.53</v>
      </c>
      <c r="D53" s="115">
        <v>7229770.54</v>
      </c>
      <c r="E53" s="116">
        <f aca="true" t="shared" si="17" ref="E53:E64">D53-C53</f>
        <v>-1362358.9899999993</v>
      </c>
      <c r="F53" s="296">
        <f aca="true" t="shared" si="18" ref="F53:F64">E53/C53*100</f>
        <v>-15.855894458332257</v>
      </c>
      <c r="G53" s="297">
        <f>+D53*100/7292349.73-100</f>
        <v>-0.8581485024306517</v>
      </c>
      <c r="H53" s="129" t="s">
        <v>77</v>
      </c>
      <c r="I53" s="115">
        <v>10439861.24</v>
      </c>
      <c r="J53" s="115">
        <v>10028281.1</v>
      </c>
      <c r="K53" s="116">
        <f aca="true" t="shared" si="19" ref="K53:K64">J53-I53</f>
        <v>-411580.1400000006</v>
      </c>
      <c r="L53" s="296">
        <f aca="true" t="shared" si="20" ref="L53:L64">K53/I53*100</f>
        <v>-3.94239090480479</v>
      </c>
      <c r="M53" s="297">
        <f>+J53*100/17950183.13-100</f>
        <v>-44.13270868952967</v>
      </c>
    </row>
    <row r="54" spans="2:13" ht="14.25" customHeight="1">
      <c r="B54" s="245" t="s">
        <v>75</v>
      </c>
      <c r="C54" s="227">
        <v>39114107.19</v>
      </c>
      <c r="D54" s="236">
        <v>57912851.46</v>
      </c>
      <c r="E54" s="117">
        <f t="shared" si="17"/>
        <v>18798744.270000003</v>
      </c>
      <c r="F54" s="281">
        <f t="shared" si="18"/>
        <v>48.06128944394296</v>
      </c>
      <c r="G54" s="282">
        <f aca="true" t="shared" si="21" ref="G54:G64">+D54*100/D53-100</f>
        <v>701.0330499368795</v>
      </c>
      <c r="H54" s="130" t="s">
        <v>75</v>
      </c>
      <c r="I54" s="227">
        <v>14101321.86</v>
      </c>
      <c r="J54" s="227">
        <v>21556753.92</v>
      </c>
      <c r="K54" s="117">
        <f t="shared" si="19"/>
        <v>7455432.060000002</v>
      </c>
      <c r="L54" s="281">
        <f t="shared" si="20"/>
        <v>52.87044813258382</v>
      </c>
      <c r="M54" s="282">
        <f aca="true" t="shared" si="22" ref="M54:M64">+J54*100/J53-100</f>
        <v>114.95960977799078</v>
      </c>
    </row>
    <row r="55" spans="2:13" ht="14.25" customHeight="1">
      <c r="B55" s="245" t="s">
        <v>78</v>
      </c>
      <c r="C55" s="227">
        <v>10909602.38</v>
      </c>
      <c r="D55" s="227">
        <v>14929133.94</v>
      </c>
      <c r="E55" s="117">
        <f t="shared" si="17"/>
        <v>4019531.5599999987</v>
      </c>
      <c r="F55" s="281">
        <f t="shared" si="18"/>
        <v>36.84397854287334</v>
      </c>
      <c r="G55" s="318">
        <f t="shared" si="21"/>
        <v>-74.22137994653666</v>
      </c>
      <c r="H55" s="130" t="s">
        <v>78</v>
      </c>
      <c r="I55" s="227">
        <v>72323073.65</v>
      </c>
      <c r="J55" s="236">
        <v>80627475.77</v>
      </c>
      <c r="K55" s="117">
        <f t="shared" si="19"/>
        <v>8304402.11999999</v>
      </c>
      <c r="L55" s="281">
        <f t="shared" si="20"/>
        <v>11.482368905099747</v>
      </c>
      <c r="M55" s="282">
        <f t="shared" si="22"/>
        <v>274.0241970995232</v>
      </c>
    </row>
    <row r="56" spans="2:13" ht="14.25" customHeight="1">
      <c r="B56" s="245" t="s">
        <v>79</v>
      </c>
      <c r="C56" s="118">
        <v>7973785.46</v>
      </c>
      <c r="D56" s="118">
        <v>11199514.89</v>
      </c>
      <c r="E56" s="117">
        <f t="shared" si="17"/>
        <v>3225729.4300000006</v>
      </c>
      <c r="F56" s="281">
        <f t="shared" si="18"/>
        <v>40.45417883615846</v>
      </c>
      <c r="G56" s="318">
        <f t="shared" si="21"/>
        <v>-24.982152782534413</v>
      </c>
      <c r="H56" s="130" t="s">
        <v>79</v>
      </c>
      <c r="I56" s="118">
        <v>16510249.57</v>
      </c>
      <c r="J56" s="118">
        <v>22996467.78</v>
      </c>
      <c r="K56" s="117">
        <f t="shared" si="19"/>
        <v>6486218.210000001</v>
      </c>
      <c r="L56" s="281">
        <f t="shared" si="20"/>
        <v>39.286009472478256</v>
      </c>
      <c r="M56" s="318">
        <f t="shared" si="22"/>
        <v>-71.47812509274095</v>
      </c>
    </row>
    <row r="57" spans="2:13" ht="14.25" customHeight="1">
      <c r="B57" s="245" t="s">
        <v>80</v>
      </c>
      <c r="C57" s="118">
        <v>7121248.47</v>
      </c>
      <c r="D57" s="118">
        <v>11005499.19</v>
      </c>
      <c r="E57" s="117">
        <f t="shared" si="17"/>
        <v>3884250.7199999997</v>
      </c>
      <c r="F57" s="281">
        <f t="shared" si="18"/>
        <v>54.544518933208906</v>
      </c>
      <c r="G57" s="318">
        <f t="shared" si="21"/>
        <v>-1.7323580700199415</v>
      </c>
      <c r="H57" s="130" t="s">
        <v>80</v>
      </c>
      <c r="I57" s="118">
        <v>15563947.7</v>
      </c>
      <c r="J57" s="118">
        <v>21218650.97</v>
      </c>
      <c r="K57" s="117">
        <f t="shared" si="19"/>
        <v>5654703.27</v>
      </c>
      <c r="L57" s="281">
        <f t="shared" si="20"/>
        <v>36.33206291229057</v>
      </c>
      <c r="M57" s="318">
        <f t="shared" si="22"/>
        <v>-7.7308255642032435</v>
      </c>
    </row>
    <row r="58" spans="2:13" ht="14.25" customHeight="1">
      <c r="B58" s="245" t="s">
        <v>81</v>
      </c>
      <c r="C58" s="118">
        <v>10379022.3</v>
      </c>
      <c r="D58" s="118">
        <v>12040065.12</v>
      </c>
      <c r="E58" s="117">
        <f t="shared" si="17"/>
        <v>1661042.8199999984</v>
      </c>
      <c r="F58" s="281">
        <f t="shared" si="18"/>
        <v>16.003846720707003</v>
      </c>
      <c r="G58" s="282">
        <f t="shared" si="21"/>
        <v>9.40044528775256</v>
      </c>
      <c r="H58" s="130" t="s">
        <v>81</v>
      </c>
      <c r="I58" s="118">
        <v>18192680.74</v>
      </c>
      <c r="J58" s="118">
        <v>20466838.57</v>
      </c>
      <c r="K58" s="117">
        <f t="shared" si="19"/>
        <v>2274157.830000002</v>
      </c>
      <c r="L58" s="281">
        <f t="shared" si="20"/>
        <v>12.500399817382835</v>
      </c>
      <c r="M58" s="318">
        <f t="shared" si="22"/>
        <v>-3.5431677586994113</v>
      </c>
    </row>
    <row r="59" spans="2:13" ht="14.25" customHeight="1">
      <c r="B59" s="245" t="s">
        <v>82</v>
      </c>
      <c r="C59" s="118">
        <v>10966112.38</v>
      </c>
      <c r="D59" s="118">
        <v>14284225.08</v>
      </c>
      <c r="E59" s="117">
        <f t="shared" si="17"/>
        <v>3318112.6999999993</v>
      </c>
      <c r="F59" s="281">
        <f t="shared" si="18"/>
        <v>30.257876128021216</v>
      </c>
      <c r="G59" s="282">
        <f t="shared" si="21"/>
        <v>18.63910151343103</v>
      </c>
      <c r="H59" s="130" t="s">
        <v>82</v>
      </c>
      <c r="I59" s="118">
        <v>22261105.98</v>
      </c>
      <c r="J59" s="118">
        <v>29789653.64</v>
      </c>
      <c r="K59" s="117">
        <f t="shared" si="19"/>
        <v>7528547.66</v>
      </c>
      <c r="L59" s="281">
        <f t="shared" si="20"/>
        <v>33.8192885239568</v>
      </c>
      <c r="M59" s="282">
        <f t="shared" si="22"/>
        <v>45.55083110718061</v>
      </c>
    </row>
    <row r="60" spans="2:13" ht="14.25" customHeight="1">
      <c r="B60" s="245" t="s">
        <v>83</v>
      </c>
      <c r="C60" s="118">
        <v>7314628.62</v>
      </c>
      <c r="D60" s="118">
        <v>12141615.09</v>
      </c>
      <c r="E60" s="117">
        <f t="shared" si="17"/>
        <v>4826986.47</v>
      </c>
      <c r="F60" s="281">
        <f t="shared" si="18"/>
        <v>65.99086188465984</v>
      </c>
      <c r="G60" s="318">
        <f t="shared" si="21"/>
        <v>-14.999833578651504</v>
      </c>
      <c r="H60" s="130" t="s">
        <v>83</v>
      </c>
      <c r="I60" s="118">
        <v>21588768.69</v>
      </c>
      <c r="J60" s="118">
        <v>34682365.48</v>
      </c>
      <c r="K60" s="117">
        <f t="shared" si="19"/>
        <v>13093596.789999995</v>
      </c>
      <c r="L60" s="281">
        <f t="shared" si="20"/>
        <v>60.65003974064069</v>
      </c>
      <c r="M60" s="282">
        <f t="shared" si="22"/>
        <v>16.42419847886488</v>
      </c>
    </row>
    <row r="61" spans="2:13" ht="14.25" customHeight="1">
      <c r="B61" s="245" t="s">
        <v>84</v>
      </c>
      <c r="C61" s="118">
        <v>7423047.28</v>
      </c>
      <c r="D61" s="118">
        <v>9957384.86</v>
      </c>
      <c r="E61" s="117">
        <f t="shared" si="17"/>
        <v>2534337.579999999</v>
      </c>
      <c r="F61" s="281">
        <f t="shared" si="18"/>
        <v>34.141471614067356</v>
      </c>
      <c r="G61" s="318">
        <f t="shared" si="21"/>
        <v>-17.989618463518596</v>
      </c>
      <c r="H61" s="130" t="s">
        <v>84</v>
      </c>
      <c r="I61" s="118">
        <v>16974946.78</v>
      </c>
      <c r="J61" s="118">
        <v>23921971.68</v>
      </c>
      <c r="K61" s="117">
        <f t="shared" si="19"/>
        <v>6947024.8999999985</v>
      </c>
      <c r="L61" s="281">
        <f t="shared" si="20"/>
        <v>40.925164538277265</v>
      </c>
      <c r="M61" s="318">
        <f t="shared" si="22"/>
        <v>-31.02554756885054</v>
      </c>
    </row>
    <row r="62" spans="2:13" ht="14.25" customHeight="1">
      <c r="B62" s="245" t="s">
        <v>85</v>
      </c>
      <c r="C62" s="118">
        <v>7742163.37</v>
      </c>
      <c r="D62" s="118">
        <v>9039365.22</v>
      </c>
      <c r="E62" s="117">
        <f t="shared" si="17"/>
        <v>1297201.8500000006</v>
      </c>
      <c r="F62" s="281">
        <f t="shared" si="18"/>
        <v>16.755030706617607</v>
      </c>
      <c r="G62" s="318">
        <f t="shared" si="21"/>
        <v>-9.219485365959812</v>
      </c>
      <c r="H62" s="130" t="s">
        <v>85</v>
      </c>
      <c r="I62" s="118">
        <v>17539835.36</v>
      </c>
      <c r="J62" s="118">
        <v>20665610.85</v>
      </c>
      <c r="K62" s="117">
        <f t="shared" si="19"/>
        <v>3125775.490000002</v>
      </c>
      <c r="L62" s="281">
        <f t="shared" si="20"/>
        <v>17.82100815568888</v>
      </c>
      <c r="M62" s="318">
        <f t="shared" si="22"/>
        <v>-13.612426574028945</v>
      </c>
    </row>
    <row r="63" spans="2:13" ht="14.25" customHeight="1">
      <c r="B63" s="245" t="s">
        <v>86</v>
      </c>
      <c r="C63" s="119">
        <v>6817796.31</v>
      </c>
      <c r="D63" s="119">
        <v>10381893.45</v>
      </c>
      <c r="E63" s="117">
        <f t="shared" si="17"/>
        <v>3564097.1399999997</v>
      </c>
      <c r="F63" s="281">
        <f t="shared" si="18"/>
        <v>52.27638048928453</v>
      </c>
      <c r="G63" s="282">
        <f t="shared" si="21"/>
        <v>14.852018889883936</v>
      </c>
      <c r="H63" s="130" t="s">
        <v>86</v>
      </c>
      <c r="I63" s="118">
        <v>16100825.29</v>
      </c>
      <c r="J63" s="118">
        <v>24787187.28</v>
      </c>
      <c r="K63" s="117">
        <f t="shared" si="19"/>
        <v>8686361.990000002</v>
      </c>
      <c r="L63" s="281">
        <f t="shared" si="20"/>
        <v>53.949793464282735</v>
      </c>
      <c r="M63" s="282">
        <f t="shared" si="22"/>
        <v>19.944130661881687</v>
      </c>
    </row>
    <row r="64" spans="2:13" ht="14.25" customHeight="1" thickBot="1">
      <c r="B64" s="246" t="s">
        <v>87</v>
      </c>
      <c r="C64" s="133">
        <v>7292349.73</v>
      </c>
      <c r="D64" s="132">
        <v>10203811.43</v>
      </c>
      <c r="E64" s="120">
        <f t="shared" si="17"/>
        <v>2911461.6999999993</v>
      </c>
      <c r="F64" s="284">
        <f t="shared" si="18"/>
        <v>39.92487754697962</v>
      </c>
      <c r="G64" s="366">
        <f t="shared" si="21"/>
        <v>-1.715313500929824</v>
      </c>
      <c r="H64" s="131" t="s">
        <v>87</v>
      </c>
      <c r="I64" s="121">
        <v>17950183.13</v>
      </c>
      <c r="J64" s="121">
        <v>24852445.18</v>
      </c>
      <c r="K64" s="120">
        <f t="shared" si="19"/>
        <v>6902262.050000001</v>
      </c>
      <c r="L64" s="284">
        <f t="shared" si="20"/>
        <v>38.452321071110994</v>
      </c>
      <c r="M64" s="285">
        <f t="shared" si="22"/>
        <v>0.26327271127149743</v>
      </c>
    </row>
    <row r="65" spans="2:12" ht="14.25" thickBot="1" thickTop="1">
      <c r="B65" s="124" t="s">
        <v>7</v>
      </c>
      <c r="C65" s="122">
        <f>SUM(C53:C64)</f>
        <v>131645993.02000001</v>
      </c>
      <c r="D65" s="122">
        <f>SUM(D53:D64)</f>
        <v>180325130.27</v>
      </c>
      <c r="E65" s="123">
        <f>SUM(E53:E64)</f>
        <v>48679137.25</v>
      </c>
      <c r="F65" s="304">
        <f>E65/C65*100</f>
        <v>36.97730263814755</v>
      </c>
      <c r="H65" s="124" t="s">
        <v>7</v>
      </c>
      <c r="I65" s="122">
        <f>SUM(I53:I64)</f>
        <v>259546799.98999998</v>
      </c>
      <c r="J65" s="122">
        <f>SUM(J53:J64)</f>
        <v>335593702.21999997</v>
      </c>
      <c r="K65" s="123">
        <f>SUM(K53:K64)</f>
        <v>76046902.22999997</v>
      </c>
      <c r="L65" s="303">
        <f>K65/I65*100</f>
        <v>29.299880496669566</v>
      </c>
    </row>
    <row r="66" spans="3:11" ht="14.25" thickBot="1" thickTop="1">
      <c r="C66" s="352"/>
      <c r="D66" s="1"/>
      <c r="E66" s="1"/>
      <c r="H66" s="125"/>
      <c r="I66" s="352"/>
      <c r="J66" s="1"/>
      <c r="K66" s="1"/>
    </row>
    <row r="67" spans="2:11" ht="14.25" thickBot="1" thickTop="1">
      <c r="B67" s="254" t="s">
        <v>41</v>
      </c>
      <c r="C67" s="353">
        <f>C65/12</f>
        <v>10970499.418333335</v>
      </c>
      <c r="D67" s="353">
        <f>D65/12</f>
        <v>15027094.189166667</v>
      </c>
      <c r="E67" s="1"/>
      <c r="H67" s="254" t="s">
        <v>41</v>
      </c>
      <c r="I67" s="353">
        <f>I65/12</f>
        <v>21628899.999166664</v>
      </c>
      <c r="J67" s="353">
        <f>J65/12</f>
        <v>27966141.851666663</v>
      </c>
      <c r="K67" s="1"/>
    </row>
    <row r="68" ht="13.5" thickTop="1"/>
    <row r="70" spans="2:7" ht="14.25">
      <c r="B70" s="415" t="s">
        <v>104</v>
      </c>
      <c r="C70" s="416"/>
      <c r="D70" s="416"/>
      <c r="E70" s="416"/>
      <c r="F70" s="416"/>
      <c r="G70" s="417"/>
    </row>
    <row r="71" ht="12.75">
      <c r="B71" s="309"/>
    </row>
    <row r="72" spans="2:11" ht="13.5" thickBot="1">
      <c r="B72" s="310"/>
      <c r="G72" s="146">
        <v>2016</v>
      </c>
      <c r="J72" s="421" t="s">
        <v>165</v>
      </c>
      <c r="K72" s="422"/>
    </row>
    <row r="73" spans="2:11" ht="14.25" thickBot="1" thickTop="1">
      <c r="B73" s="310"/>
      <c r="C73" s="414" t="s">
        <v>5</v>
      </c>
      <c r="D73" s="414"/>
      <c r="E73" s="8" t="s">
        <v>76</v>
      </c>
      <c r="F73" s="148" t="s">
        <v>51</v>
      </c>
      <c r="G73" s="149" t="s">
        <v>88</v>
      </c>
      <c r="J73" s="168" t="s">
        <v>94</v>
      </c>
      <c r="K73" s="164">
        <f>C43</f>
        <v>613963178.09</v>
      </c>
    </row>
    <row r="74" spans="2:11" ht="14.25" thickBot="1" thickTop="1">
      <c r="B74" s="311" t="s">
        <v>1</v>
      </c>
      <c r="C74" s="361">
        <v>2015</v>
      </c>
      <c r="D74" s="361">
        <v>2016</v>
      </c>
      <c r="E74" s="8" t="s">
        <v>89</v>
      </c>
      <c r="F74" s="8" t="s">
        <v>20</v>
      </c>
      <c r="G74" s="147" t="s">
        <v>50</v>
      </c>
      <c r="J74" s="169" t="s">
        <v>95</v>
      </c>
      <c r="K74" s="164">
        <f>D43</f>
        <v>1499884059.23</v>
      </c>
    </row>
    <row r="75" spans="2:11" ht="14.25" customHeight="1">
      <c r="B75" s="129" t="s">
        <v>77</v>
      </c>
      <c r="C75" s="360">
        <v>15180269.32</v>
      </c>
      <c r="D75" s="360">
        <v>16822934.6</v>
      </c>
      <c r="E75" s="116">
        <f aca="true" t="shared" si="23" ref="E75:E86">D75-C75</f>
        <v>1642665.2800000012</v>
      </c>
      <c r="F75" s="283">
        <f aca="true" t="shared" si="24" ref="F75:F86">E75/C75*100</f>
        <v>10.821054919202192</v>
      </c>
      <c r="G75" s="297">
        <f>+D75*100/18754761.88-100</f>
        <v>-10.3004628497048</v>
      </c>
      <c r="J75" s="169" t="s">
        <v>3</v>
      </c>
      <c r="K75" s="164">
        <f>D24</f>
        <v>180325130.27</v>
      </c>
    </row>
    <row r="76" spans="2:11" ht="14.25" customHeight="1">
      <c r="B76" s="130" t="s">
        <v>75</v>
      </c>
      <c r="C76" s="227">
        <v>14190634.3</v>
      </c>
      <c r="D76" s="227">
        <v>20173862.96</v>
      </c>
      <c r="E76" s="117">
        <f t="shared" si="23"/>
        <v>5983228.66</v>
      </c>
      <c r="F76" s="281">
        <f t="shared" si="24"/>
        <v>42.1632221189718</v>
      </c>
      <c r="G76" s="282">
        <f aca="true" t="shared" si="25" ref="G76:G86">+D76*100/D75-100</f>
        <v>19.91880988469157</v>
      </c>
      <c r="J76" s="169" t="s">
        <v>4</v>
      </c>
      <c r="K76" s="164">
        <f>E24</f>
        <v>335593702.21999997</v>
      </c>
    </row>
    <row r="77" spans="2:11" ht="14.25" customHeight="1">
      <c r="B77" s="130" t="s">
        <v>78</v>
      </c>
      <c r="C77" s="227">
        <v>15236458.61</v>
      </c>
      <c r="D77" s="227">
        <v>22077336.64</v>
      </c>
      <c r="E77" s="117">
        <f t="shared" si="23"/>
        <v>6840878.030000001</v>
      </c>
      <c r="F77" s="281">
        <f t="shared" si="24"/>
        <v>44.898084293092836</v>
      </c>
      <c r="G77" s="282">
        <f t="shared" si="25"/>
        <v>9.435345544748358</v>
      </c>
      <c r="J77" s="169" t="s">
        <v>5</v>
      </c>
      <c r="K77" s="164">
        <f>F24</f>
        <v>262246902.37</v>
      </c>
    </row>
    <row r="78" spans="2:11" ht="14.25" customHeight="1">
      <c r="B78" s="130" t="s">
        <v>79</v>
      </c>
      <c r="C78" s="227">
        <v>14966899.14</v>
      </c>
      <c r="D78" s="227">
        <v>20714715.19</v>
      </c>
      <c r="E78" s="117">
        <f t="shared" si="23"/>
        <v>5747816.050000001</v>
      </c>
      <c r="F78" s="281">
        <f t="shared" si="24"/>
        <v>38.40351963512998</v>
      </c>
      <c r="G78" s="318">
        <f t="shared" si="25"/>
        <v>-6.172037289729886</v>
      </c>
      <c r="J78" s="169" t="s">
        <v>46</v>
      </c>
      <c r="K78" s="164">
        <f>G24</f>
        <v>49724594.56999999</v>
      </c>
    </row>
    <row r="79" spans="2:11" ht="14.25" customHeight="1">
      <c r="B79" s="130" t="s">
        <v>80</v>
      </c>
      <c r="C79" s="227">
        <v>15234383.17</v>
      </c>
      <c r="D79" s="227">
        <v>20193967.5</v>
      </c>
      <c r="E79" s="117">
        <f t="shared" si="23"/>
        <v>4959584.33</v>
      </c>
      <c r="F79" s="281">
        <f t="shared" si="24"/>
        <v>32.555202758498034</v>
      </c>
      <c r="G79" s="318">
        <f t="shared" si="25"/>
        <v>-2.513902244001841</v>
      </c>
      <c r="J79" s="169" t="s">
        <v>93</v>
      </c>
      <c r="K79" s="164">
        <f>H24</f>
        <v>0</v>
      </c>
    </row>
    <row r="80" spans="2:11" ht="14.25" customHeight="1">
      <c r="B80" s="130" t="s">
        <v>81</v>
      </c>
      <c r="C80" s="227">
        <v>16981196.58</v>
      </c>
      <c r="D80" s="227">
        <v>18061394.63</v>
      </c>
      <c r="E80" s="117">
        <f t="shared" si="23"/>
        <v>1080198.0500000007</v>
      </c>
      <c r="F80" s="281">
        <f t="shared" si="24"/>
        <v>6.3611421310099505</v>
      </c>
      <c r="G80" s="318">
        <f t="shared" si="25"/>
        <v>-10.560445192357562</v>
      </c>
      <c r="J80" s="169" t="s">
        <v>48</v>
      </c>
      <c r="K80" s="164">
        <f>I24</f>
        <v>1522618.77</v>
      </c>
    </row>
    <row r="81" spans="2:11" ht="14.25" customHeight="1">
      <c r="B81" s="130" t="s">
        <v>82</v>
      </c>
      <c r="C81" s="227">
        <v>16018449.13</v>
      </c>
      <c r="D81" s="227">
        <v>19928633.04</v>
      </c>
      <c r="E81" s="117">
        <f t="shared" si="23"/>
        <v>3910183.9099999983</v>
      </c>
      <c r="F81" s="281">
        <f t="shared" si="24"/>
        <v>24.41050240423617</v>
      </c>
      <c r="G81" s="282">
        <f t="shared" si="25"/>
        <v>10.338284768433752</v>
      </c>
      <c r="J81" s="169" t="s">
        <v>35</v>
      </c>
      <c r="K81" s="164">
        <f>I43</f>
        <v>344208264.26</v>
      </c>
    </row>
    <row r="82" spans="2:11" ht="14.25" customHeight="1">
      <c r="B82" s="130" t="s">
        <v>83</v>
      </c>
      <c r="C82" s="227">
        <v>17372478.94</v>
      </c>
      <c r="D82" s="227">
        <v>23721330.24</v>
      </c>
      <c r="E82" s="117">
        <f t="shared" si="23"/>
        <v>6348851.299999997</v>
      </c>
      <c r="F82" s="281">
        <f t="shared" si="24"/>
        <v>36.54545400185702</v>
      </c>
      <c r="G82" s="282">
        <f t="shared" si="25"/>
        <v>19.031396646159536</v>
      </c>
      <c r="J82" s="169" t="s">
        <v>36</v>
      </c>
      <c r="K82" s="164">
        <f>J43</f>
        <v>37288690.15</v>
      </c>
    </row>
    <row r="83" spans="2:12" ht="14.25" customHeight="1">
      <c r="B83" s="130" t="s">
        <v>84</v>
      </c>
      <c r="C83" s="227">
        <v>22122988.14</v>
      </c>
      <c r="D83" s="227">
        <v>27759911.6</v>
      </c>
      <c r="E83" s="117">
        <f t="shared" si="23"/>
        <v>5636923.460000001</v>
      </c>
      <c r="F83" s="281">
        <f t="shared" si="24"/>
        <v>25.479937087739184</v>
      </c>
      <c r="G83" s="282">
        <f t="shared" si="25"/>
        <v>17.025104912497525</v>
      </c>
      <c r="J83" s="167" t="s">
        <v>108</v>
      </c>
      <c r="K83" s="255">
        <f>SUM(K73:K82)</f>
        <v>3324757139.93</v>
      </c>
      <c r="L83" s="10"/>
    </row>
    <row r="84" spans="2:12" ht="14.25" customHeight="1" thickBot="1">
      <c r="B84" s="130" t="s">
        <v>85</v>
      </c>
      <c r="C84" s="227">
        <v>16148175.45</v>
      </c>
      <c r="D84" s="227">
        <v>25491803.35</v>
      </c>
      <c r="E84" s="117">
        <f t="shared" si="23"/>
        <v>9343627.900000002</v>
      </c>
      <c r="F84" s="281">
        <f t="shared" si="24"/>
        <v>57.861818066882606</v>
      </c>
      <c r="G84" s="318">
        <f t="shared" si="25"/>
        <v>-8.170444786286723</v>
      </c>
      <c r="J84" s="165"/>
      <c r="K84" s="166"/>
      <c r="L84" s="166"/>
    </row>
    <row r="85" spans="2:12" ht="14.25" customHeight="1" thickTop="1">
      <c r="B85" s="130" t="s">
        <v>86</v>
      </c>
      <c r="C85" s="227">
        <v>18380768.73</v>
      </c>
      <c r="D85" s="227">
        <v>23345086.34</v>
      </c>
      <c r="E85" s="117">
        <f t="shared" si="23"/>
        <v>4964317.609999999</v>
      </c>
      <c r="F85" s="281">
        <f t="shared" si="24"/>
        <v>27.008215395787744</v>
      </c>
      <c r="G85" s="318">
        <f t="shared" si="25"/>
        <v>-8.421204967439081</v>
      </c>
      <c r="L85" s="10"/>
    </row>
    <row r="86" spans="2:7" ht="14.25" customHeight="1" thickBot="1">
      <c r="B86" s="131" t="s">
        <v>87</v>
      </c>
      <c r="C86" s="228">
        <v>18754761.88</v>
      </c>
      <c r="D86" s="228">
        <v>23955926.28</v>
      </c>
      <c r="E86" s="120">
        <f t="shared" si="23"/>
        <v>5201164.400000002</v>
      </c>
      <c r="F86" s="284">
        <f t="shared" si="24"/>
        <v>27.73250032860456</v>
      </c>
      <c r="G86" s="285">
        <f t="shared" si="25"/>
        <v>2.616567491349869</v>
      </c>
    </row>
    <row r="87" spans="2:6" ht="14.25" thickBot="1" thickTop="1">
      <c r="B87" s="124" t="s">
        <v>7</v>
      </c>
      <c r="C87" s="122">
        <f>SUM(C75:C86)</f>
        <v>200587463.38999996</v>
      </c>
      <c r="D87" s="122">
        <f>SUM(D75:D86)</f>
        <v>262246902.37</v>
      </c>
      <c r="E87" s="123">
        <f>SUM(E75:E86)</f>
        <v>61659438.980000004</v>
      </c>
      <c r="F87" s="303">
        <f>E87/C87*100</f>
        <v>30.739428046964356</v>
      </c>
    </row>
    <row r="88" spans="3:5" ht="14.25" thickBot="1" thickTop="1">
      <c r="C88" s="352"/>
      <c r="D88" s="1"/>
      <c r="E88" s="1"/>
    </row>
    <row r="89" spans="2:5" ht="14.25" thickBot="1" thickTop="1">
      <c r="B89" s="254" t="s">
        <v>41</v>
      </c>
      <c r="C89" s="359">
        <f>C87/12</f>
        <v>16715621.949166663</v>
      </c>
      <c r="D89" s="359">
        <f>D87/12</f>
        <v>21853908.530833334</v>
      </c>
      <c r="E89" s="1"/>
    </row>
    <row r="90" ht="13.5" thickTop="1"/>
  </sheetData>
  <mergeCells count="20">
    <mergeCell ref="C73:D73"/>
    <mergeCell ref="B70:G70"/>
    <mergeCell ref="B48:H48"/>
    <mergeCell ref="C51:D51"/>
    <mergeCell ref="B50:E50"/>
    <mergeCell ref="H50:K50"/>
    <mergeCell ref="J72:K72"/>
    <mergeCell ref="I51:J51"/>
    <mergeCell ref="AB20:AE20"/>
    <mergeCell ref="E7:J7"/>
    <mergeCell ref="N20:S20"/>
    <mergeCell ref="U20:Z20"/>
    <mergeCell ref="O9:V9"/>
    <mergeCell ref="O11:V11"/>
    <mergeCell ref="O13:V13"/>
    <mergeCell ref="N19:Q19"/>
    <mergeCell ref="C29:E29"/>
    <mergeCell ref="I29:K29"/>
    <mergeCell ref="O40:S40"/>
    <mergeCell ref="V40:Z40"/>
  </mergeCells>
  <printOptions/>
  <pageMargins left="0.3937007874015748" right="0" top="0.3937007874015748" bottom="0" header="0" footer="0"/>
  <pageSetup horizontalDpi="300" verticalDpi="300" orientation="landscape" paperSize="9" r:id="rId2"/>
  <ignoredErrors>
    <ignoredError sqref="T35:Z35 C43:D43 I43:J43 C24:L24" emptyCellReference="1"/>
    <ignoredError sqref="C44:E44 AE35 Y23 V36:Z36 W23 I44" evalError="1"/>
    <ignoredError sqref="C25:L25" emptyCellReference="1" evalError="1"/>
    <ignoredError sqref="AC35:AD35 AD23:AD34" formula="1"/>
    <ignoredError sqref="I65:J65 C65:D65 C87:D8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B9:F50"/>
  <sheetViews>
    <sheetView workbookViewId="0" topLeftCell="A20">
      <selection activeCell="E28" sqref="E28"/>
    </sheetView>
  </sheetViews>
  <sheetFormatPr defaultColWidth="11.421875" defaultRowHeight="12.75"/>
  <cols>
    <col min="1" max="1" width="5.57421875" style="0" customWidth="1"/>
    <col min="2" max="2" width="40.00390625" style="0" customWidth="1"/>
    <col min="3" max="3" width="21.8515625" style="0" customWidth="1"/>
    <col min="4" max="4" width="22.00390625" style="0" customWidth="1"/>
    <col min="5" max="5" width="22.57421875" style="0" customWidth="1"/>
    <col min="6" max="6" width="16.7109375" style="0" customWidth="1"/>
  </cols>
  <sheetData>
    <row r="9" spans="2:6" ht="18">
      <c r="B9" s="424" t="s">
        <v>90</v>
      </c>
      <c r="C9" s="424"/>
      <c r="D9" s="424"/>
      <c r="E9" s="424"/>
      <c r="F9" s="424"/>
    </row>
    <row r="10" spans="2:6" ht="15">
      <c r="B10" s="389" t="s">
        <v>166</v>
      </c>
      <c r="C10" s="389"/>
      <c r="D10" s="389"/>
      <c r="E10" s="389"/>
      <c r="F10" s="389"/>
    </row>
    <row r="12" ht="12.75">
      <c r="B12" s="7" t="s">
        <v>53</v>
      </c>
    </row>
    <row r="13" ht="13.5" thickBot="1"/>
    <row r="14" spans="2:6" ht="15.75" thickTop="1">
      <c r="B14" s="10"/>
      <c r="C14" s="369" t="s">
        <v>21</v>
      </c>
      <c r="D14" s="370" t="s">
        <v>21</v>
      </c>
      <c r="E14" s="371" t="s">
        <v>28</v>
      </c>
      <c r="F14" s="136" t="s">
        <v>91</v>
      </c>
    </row>
    <row r="15" spans="2:6" ht="15">
      <c r="B15" s="52" t="s">
        <v>23</v>
      </c>
      <c r="C15" s="372" t="s">
        <v>108</v>
      </c>
      <c r="D15" s="372" t="s">
        <v>97</v>
      </c>
      <c r="E15" s="373" t="s">
        <v>49</v>
      </c>
      <c r="F15" s="368" t="s">
        <v>92</v>
      </c>
    </row>
    <row r="16" spans="2:6" ht="13.5" thickBot="1">
      <c r="B16" s="10"/>
      <c r="C16" s="374"/>
      <c r="D16" s="375"/>
      <c r="E16" s="376" t="s">
        <v>167</v>
      </c>
      <c r="F16" s="136" t="s">
        <v>168</v>
      </c>
    </row>
    <row r="17" spans="2:6" ht="15.75" thickTop="1">
      <c r="B17" s="11" t="s">
        <v>2</v>
      </c>
      <c r="C17" s="113">
        <v>2113847237.32</v>
      </c>
      <c r="D17" s="327">
        <v>1695427392.77</v>
      </c>
      <c r="E17" s="327">
        <f>+C17-D17</f>
        <v>418419844.54999995</v>
      </c>
      <c r="F17" s="377">
        <f>+C17*100/D17-100</f>
        <v>24.679313684225846</v>
      </c>
    </row>
    <row r="18" spans="2:6" ht="15">
      <c r="B18" s="3"/>
      <c r="C18" s="94"/>
      <c r="D18" s="24"/>
      <c r="E18" s="24"/>
      <c r="F18" s="267"/>
    </row>
    <row r="19" spans="2:6" ht="15">
      <c r="B19" s="12" t="s">
        <v>32</v>
      </c>
      <c r="C19" s="94">
        <v>613963178.09</v>
      </c>
      <c r="D19" s="24">
        <v>512845542.07</v>
      </c>
      <c r="E19" s="24">
        <f>+C19-D19</f>
        <v>101117636.02000004</v>
      </c>
      <c r="F19" s="263">
        <f>+C19*100/D19-100</f>
        <v>19.716976696698694</v>
      </c>
    </row>
    <row r="20" spans="2:6" ht="15">
      <c r="B20" s="12" t="s">
        <v>31</v>
      </c>
      <c r="C20" s="94">
        <v>1499884059.23</v>
      </c>
      <c r="D20" s="24">
        <v>1182581850.7</v>
      </c>
      <c r="E20" s="24">
        <f>+C20-D20</f>
        <v>317302208.53</v>
      </c>
      <c r="F20" s="263">
        <f>+C20*100/D20-100</f>
        <v>26.83131052131239</v>
      </c>
    </row>
    <row r="21" spans="2:6" ht="15">
      <c r="B21" s="3"/>
      <c r="C21" s="94"/>
      <c r="D21" s="24"/>
      <c r="E21" s="24"/>
      <c r="F21" s="267"/>
    </row>
    <row r="22" spans="2:6" ht="15">
      <c r="B22" s="11" t="s">
        <v>3</v>
      </c>
      <c r="C22" s="93">
        <v>180325130.27</v>
      </c>
      <c r="D22" s="15">
        <v>131645993.02</v>
      </c>
      <c r="E22" s="15">
        <f>+C22-D22</f>
        <v>48679137.250000015</v>
      </c>
      <c r="F22" s="263">
        <f>+C22*100/D22-100</f>
        <v>36.97730263814756</v>
      </c>
    </row>
    <row r="23" spans="2:6" ht="15">
      <c r="B23" s="3"/>
      <c r="C23" s="94"/>
      <c r="D23" s="24"/>
      <c r="E23" s="24"/>
      <c r="F23" s="267"/>
    </row>
    <row r="24" spans="2:6" ht="15">
      <c r="B24" s="11" t="s">
        <v>4</v>
      </c>
      <c r="C24" s="93">
        <v>335593702.22</v>
      </c>
      <c r="D24" s="15">
        <v>259546799.99</v>
      </c>
      <c r="E24" s="15">
        <f>+C24-D24</f>
        <v>76046902.23000002</v>
      </c>
      <c r="F24" s="263">
        <f>+C24*100/D24-100</f>
        <v>29.299880496669573</v>
      </c>
    </row>
    <row r="25" spans="2:6" ht="15">
      <c r="B25" s="3"/>
      <c r="C25" s="94"/>
      <c r="D25" s="24"/>
      <c r="E25" s="24"/>
      <c r="F25" s="267"/>
    </row>
    <row r="26" spans="2:6" ht="15">
      <c r="B26" s="11" t="s">
        <v>5</v>
      </c>
      <c r="C26" s="93">
        <v>262246902.37</v>
      </c>
      <c r="D26" s="15">
        <v>200587463.39</v>
      </c>
      <c r="E26" s="15">
        <f>+C26-D26</f>
        <v>61659438.98000002</v>
      </c>
      <c r="F26" s="263">
        <f>+C26*100/D26-100</f>
        <v>30.73942804696435</v>
      </c>
    </row>
    <row r="27" spans="2:6" ht="15">
      <c r="B27" s="3"/>
      <c r="C27" s="94"/>
      <c r="D27" s="24"/>
      <c r="E27" s="24"/>
      <c r="F27" s="267"/>
    </row>
    <row r="28" spans="2:6" ht="15">
      <c r="B28" s="11" t="s">
        <v>46</v>
      </c>
      <c r="C28" s="93">
        <v>49724594.57</v>
      </c>
      <c r="D28" s="15">
        <v>34976554.29</v>
      </c>
      <c r="E28" s="15">
        <f>+C28-D28</f>
        <v>14748040.280000001</v>
      </c>
      <c r="F28" s="263">
        <f>+C28*100/D28-100</f>
        <v>42.16550366202469</v>
      </c>
    </row>
    <row r="29" spans="2:6" ht="15">
      <c r="B29" s="3"/>
      <c r="C29" s="94"/>
      <c r="D29" s="24"/>
      <c r="E29" s="24"/>
      <c r="F29" s="265"/>
    </row>
    <row r="30" spans="2:6" ht="15">
      <c r="B30" s="11" t="s">
        <v>56</v>
      </c>
      <c r="C30" s="93">
        <v>0</v>
      </c>
      <c r="D30" s="15">
        <v>0</v>
      </c>
      <c r="E30" s="15">
        <f>+C30-D30</f>
        <v>0</v>
      </c>
      <c r="F30" s="263">
        <v>0</v>
      </c>
    </row>
    <row r="31" spans="3:6" ht="15">
      <c r="C31" s="94"/>
      <c r="D31" s="24"/>
      <c r="E31" s="24"/>
      <c r="F31" s="248"/>
    </row>
    <row r="32" spans="2:6" ht="15">
      <c r="B32" s="11" t="s">
        <v>47</v>
      </c>
      <c r="C32" s="93">
        <v>1522618.77</v>
      </c>
      <c r="D32" s="15">
        <v>1454615.42</v>
      </c>
      <c r="E32" s="15">
        <f>+C32-D32</f>
        <v>68003.3500000001</v>
      </c>
      <c r="F32" s="263">
        <f>+C32*100/D32-100</f>
        <v>4.675005438894644</v>
      </c>
    </row>
    <row r="33" spans="3:6" ht="15" thickBot="1">
      <c r="C33" s="94"/>
      <c r="D33" s="24"/>
      <c r="E33" s="97"/>
      <c r="F33" s="268"/>
    </row>
    <row r="34" spans="2:6" ht="16.5" thickBot="1" thickTop="1">
      <c r="B34" s="27" t="s">
        <v>57</v>
      </c>
      <c r="C34" s="152">
        <f>SUM(C19:C33)</f>
        <v>2943260185.5200005</v>
      </c>
      <c r="D34" s="153">
        <f>SUM(D19:D33)</f>
        <v>2323638818.88</v>
      </c>
      <c r="E34" s="153">
        <f>+C34-D34</f>
        <v>619621366.6400003</v>
      </c>
      <c r="F34" s="263">
        <f>+C34*100/D34-100</f>
        <v>26.66599307971019</v>
      </c>
    </row>
    <row r="35" spans="3:6" ht="15" thickTop="1">
      <c r="C35" s="100"/>
      <c r="D35" s="24"/>
      <c r="E35" s="97"/>
      <c r="F35" s="268"/>
    </row>
    <row r="36" spans="2:6" ht="15">
      <c r="B36" s="11" t="s">
        <v>6</v>
      </c>
      <c r="C36" s="154">
        <v>381496954.41</v>
      </c>
      <c r="D36" s="357">
        <v>282562120.17</v>
      </c>
      <c r="E36" s="15">
        <f>+C36-D36</f>
        <v>98934834.24000001</v>
      </c>
      <c r="F36" s="263">
        <f>+C36*100/D36-100</f>
        <v>35.013480993304086</v>
      </c>
    </row>
    <row r="37" spans="3:6" ht="14.25" thickBot="1">
      <c r="C37" s="100"/>
      <c r="D37" s="1"/>
      <c r="E37" s="97"/>
      <c r="F37" s="28"/>
    </row>
    <row r="38" spans="2:6" ht="24" thickBot="1" thickTop="1">
      <c r="B38" s="155" t="s">
        <v>27</v>
      </c>
      <c r="C38" s="379">
        <f>+C34+C36</f>
        <v>3324757139.9300003</v>
      </c>
      <c r="D38" s="381">
        <f>+D34+D36</f>
        <v>2606200939.05</v>
      </c>
      <c r="E38" s="382">
        <f>+C38-D38</f>
        <v>718556200.8800001</v>
      </c>
      <c r="F38" s="378">
        <f>+C38*100/D38-100</f>
        <v>27.57102071883699</v>
      </c>
    </row>
    <row r="39" spans="2:6" ht="21.75" customHeight="1" thickTop="1">
      <c r="B39" s="125"/>
      <c r="F39" s="269"/>
    </row>
    <row r="40" spans="2:6" ht="13.5" thickBot="1">
      <c r="B40" s="2" t="s">
        <v>169</v>
      </c>
      <c r="C40" s="156" t="s">
        <v>35</v>
      </c>
      <c r="D40" s="156" t="s">
        <v>36</v>
      </c>
      <c r="E40" s="13" t="s">
        <v>108</v>
      </c>
      <c r="F40" s="269"/>
    </row>
    <row r="41" spans="2:6" ht="14.25" thickBot="1" thickTop="1">
      <c r="B41" s="157"/>
      <c r="C41" s="160">
        <v>344208264.26</v>
      </c>
      <c r="D41" s="160">
        <v>37288690.15</v>
      </c>
      <c r="E41" s="72">
        <f>SUM(C41:D41)</f>
        <v>381496954.40999997</v>
      </c>
      <c r="F41" s="269"/>
    </row>
    <row r="42" spans="2:6" ht="13.5" thickTop="1">
      <c r="B42" s="158" t="s">
        <v>42</v>
      </c>
      <c r="C42" s="272">
        <f>C41*100/E41</f>
        <v>90.22569126202636</v>
      </c>
      <c r="D42" s="272">
        <f>D41*100/E41</f>
        <v>9.774308737973655</v>
      </c>
      <c r="E42" s="20">
        <f>E41*100/E41</f>
        <v>100.00000000000001</v>
      </c>
      <c r="F42" s="270"/>
    </row>
    <row r="43" spans="2:6" ht="17.25">
      <c r="B43" s="125"/>
      <c r="F43" s="428">
        <f>+E41*100/E45-100</f>
        <v>35.013480993304086</v>
      </c>
    </row>
    <row r="44" spans="2:6" ht="13.5" thickBot="1">
      <c r="B44" s="2" t="s">
        <v>98</v>
      </c>
      <c r="C44" s="156" t="s">
        <v>35</v>
      </c>
      <c r="D44" s="156" t="s">
        <v>36</v>
      </c>
      <c r="E44" s="13" t="s">
        <v>97</v>
      </c>
      <c r="F44" s="159"/>
    </row>
    <row r="45" spans="2:5" ht="14.25" thickBot="1" thickTop="1">
      <c r="B45" s="157"/>
      <c r="C45" s="160">
        <v>253723378.37</v>
      </c>
      <c r="D45" s="160">
        <v>28838741.8</v>
      </c>
      <c r="E45" s="356">
        <f>SUM(C45:D45)</f>
        <v>282562120.17</v>
      </c>
    </row>
    <row r="46" spans="2:5" ht="13.5" thickTop="1">
      <c r="B46" s="158" t="s">
        <v>42</v>
      </c>
      <c r="C46" s="272">
        <f>C45*100/E45</f>
        <v>89.79384010048851</v>
      </c>
      <c r="D46" s="272">
        <f>D45*100/E45</f>
        <v>10.206159899511487</v>
      </c>
      <c r="E46" s="20">
        <f>E45*100/E45</f>
        <v>100</v>
      </c>
    </row>
    <row r="47" ht="12.75">
      <c r="B47" s="125"/>
    </row>
    <row r="48" spans="2:4" ht="17.25">
      <c r="B48" s="367" t="s">
        <v>170</v>
      </c>
      <c r="C48" s="358">
        <f>+C41*100/C45-100</f>
        <v>35.66280981725208</v>
      </c>
      <c r="D48" s="358">
        <f>+D41*100/D45-100</f>
        <v>29.300683117874428</v>
      </c>
    </row>
    <row r="49" ht="12.75">
      <c r="E49" s="1"/>
    </row>
    <row r="50" spans="3:5" ht="15">
      <c r="C50" s="425" t="s">
        <v>171</v>
      </c>
      <c r="D50" s="425"/>
      <c r="E50" s="425"/>
    </row>
  </sheetData>
  <mergeCells count="3">
    <mergeCell ref="B9:F9"/>
    <mergeCell ref="B10:F10"/>
    <mergeCell ref="C50:E50"/>
  </mergeCells>
  <printOptions/>
  <pageMargins left="0" right="0" top="0.984251968503937" bottom="0" header="0" footer="0"/>
  <pageSetup horizontalDpi="600" verticalDpi="600" orientation="portrait" paperSize="9" r:id="rId2"/>
  <ignoredErrors>
    <ignoredError sqref="C42:E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lperosa</cp:lastModifiedBy>
  <cp:lastPrinted>2015-08-12T12:25:16Z</cp:lastPrinted>
  <dcterms:created xsi:type="dcterms:W3CDTF">2001-02-06T21:56:10Z</dcterms:created>
  <dcterms:modified xsi:type="dcterms:W3CDTF">2017-01-04T10:50:32Z</dcterms:modified>
  <cp:category/>
  <cp:version/>
  <cp:contentType/>
  <cp:contentStatus/>
</cp:coreProperties>
</file>